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760" windowHeight="7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Area" localSheetId="4">'Лист5'!$A$1:$M$51</definedName>
  </definedNames>
  <calcPr fullCalcOnLoad="1"/>
</workbook>
</file>

<file path=xl/sharedStrings.xml><?xml version="1.0" encoding="utf-8"?>
<sst xmlns="http://schemas.openxmlformats.org/spreadsheetml/2006/main" count="816" uniqueCount="385">
  <si>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</si>
  <si>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</si>
  <si>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</si>
  <si>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</si>
  <si>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</si>
  <si>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</si>
  <si>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</si>
  <si>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</si>
  <si>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</si>
  <si>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</si>
  <si>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</si>
  <si>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</si>
  <si>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</si>
  <si>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</si>
  <si>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</si>
  <si>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</si>
  <si>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</si>
  <si>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</si>
  <si>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</si>
  <si>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</si>
  <si>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</si>
  <si>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</si>
  <si>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</si>
  <si>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</si>
  <si>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</si>
  <si>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</si>
  <si>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</si>
  <si>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</si>
  <si>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</si>
  <si>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</si>
  <si>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</si>
  <si>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</si>
  <si>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</si>
  <si>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</si>
  <si>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</si>
  <si>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</si>
  <si>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</si>
  <si>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</si>
  <si>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</si>
  <si>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</si>
  <si>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</si>
  <si>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</si>
  <si>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</si>
  <si>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</si>
  <si>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</si>
  <si>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</si>
  <si>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</si>
  <si>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</si>
  <si>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</si>
  <si>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</si>
  <si>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</si>
  <si>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</si>
  <si>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</si>
  <si>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</si>
  <si>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</si>
  <si>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</si>
  <si>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</si>
  <si>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</si>
  <si>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</si>
  <si>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</si>
  <si>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</si>
  <si>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</si>
  <si>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</si>
  <si>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</si>
  <si>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</si>
  <si>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</si>
  <si>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</si>
  <si>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</si>
  <si>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</si>
  <si>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</si>
  <si>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</si>
  <si>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</si>
  <si>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</si>
  <si>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</si>
  <si>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</si>
  <si>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</si>
  <si>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</si>
  <si>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</si>
  <si>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</si>
  <si>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</si>
  <si>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</si>
  <si>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</si>
  <si>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</si>
  <si>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</si>
  <si>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</si>
  <si>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</si>
  <si>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</si>
  <si>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</si>
  <si>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</si>
  <si>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</si>
  <si>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</si>
  <si>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</si>
  <si>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</si>
  <si>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</si>
  <si>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</si>
  <si>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</si>
  <si>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</si>
  <si>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</si>
  <si>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</si>
  <si>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</si>
  <si>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</si>
  <si>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</si>
  <si>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</si>
  <si>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</si>
  <si>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</si>
  <si>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</si>
  <si>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</si>
  <si>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</si>
  <si>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</si>
  <si>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</si>
  <si>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</si>
  <si>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</si>
  <si>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</si>
  <si>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</si>
  <si>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</si>
  <si>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</si>
  <si>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</si>
  <si>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</si>
  <si>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</si>
  <si>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</si>
  <si>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</si>
  <si>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</si>
  <si>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</si>
  <si>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</si>
  <si>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</si>
  <si>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</si>
  <si>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</si>
  <si>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</si>
  <si>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</si>
  <si>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</si>
  <si>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</si>
  <si>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</si>
  <si>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</si>
  <si>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</si>
  <si>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</si>
  <si>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</si>
  <si>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</si>
  <si>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</si>
  <si>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</si>
  <si>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</si>
  <si>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</si>
  <si>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</si>
  <si>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</si>
  <si>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</si>
  <si>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</si>
  <si>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</si>
  <si>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</si>
  <si>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</si>
  <si>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</si>
  <si>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</si>
  <si>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</si>
  <si>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</si>
  <si>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</si>
  <si>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</si>
  <si>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</si>
  <si>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</si>
  <si>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 xml:space="preserve"> 0503 99 0 0044440 800</t>
  </si>
  <si>
    <t xml:space="preserve"> 0503 99 0 0044440 810</t>
  </si>
  <si>
    <t xml:space="preserve"> 0503 99 0 0044450 200</t>
  </si>
  <si>
    <t xml:space="preserve"> 0503 99 0 0044450 240</t>
  </si>
  <si>
    <t xml:space="preserve"> 0503 99 0 0044450 244</t>
  </si>
  <si>
    <t xml:space="preserve"> 0801 99 0 0044440 800</t>
  </si>
  <si>
    <t xml:space="preserve"> 0801 99 0 0044440 810</t>
  </si>
  <si>
    <t xml:space="preserve"> 0804 79 2 0000190 200</t>
  </si>
  <si>
    <t xml:space="preserve"> 0804 79 2 0000190 240</t>
  </si>
  <si>
    <t xml:space="preserve"> 0804 79 2 0000190 244</t>
  </si>
  <si>
    <t xml:space="preserve"> 1001 99 0 0044390 300</t>
  </si>
  <si>
    <t xml:space="preserve"> 1001 99 0 0044390 310</t>
  </si>
  <si>
    <t xml:space="preserve"> 1003 99 0 0044360 300</t>
  </si>
  <si>
    <t xml:space="preserve"> 1003 99 0 0044360 360</t>
  </si>
  <si>
    <t>1003 99 5 0000000 300</t>
  </si>
  <si>
    <t>1003 99 5 0000000 360</t>
  </si>
  <si>
    <t xml:space="preserve"> 1101 99 0 0044310 000</t>
  </si>
  <si>
    <t xml:space="preserve"> 1101 99 0 0044310 200</t>
  </si>
  <si>
    <t xml:space="preserve"> 1101 99 0 0044310 240</t>
  </si>
  <si>
    <t xml:space="preserve"> 1101 99 0 0044310 244</t>
  </si>
  <si>
    <t xml:space="preserve"> 1101 99 0 0044440 810</t>
  </si>
  <si>
    <t xml:space="preserve"> 1202 99 0 0044350 800</t>
  </si>
  <si>
    <t xml:space="preserve"> 1202 99 0 0044350 810</t>
  </si>
  <si>
    <t>0104 79 2 0000110 120</t>
  </si>
  <si>
    <t>0104 79 2 0000110 121</t>
  </si>
  <si>
    <t>0104 79 2 0000110 129</t>
  </si>
  <si>
    <t xml:space="preserve"> 1001 99 0 0044390 312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</si>
  <si>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</si>
  <si>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</si>
  <si>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</si>
  <si>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</si>
  <si>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</si>
  <si>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</si>
  <si>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</si>
  <si>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</si>
  <si>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</si>
  <si>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</si>
  <si>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</si>
  <si>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</si>
  <si>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</si>
  <si>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</si>
  <si>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Иные выплаты  (резервный фонд главы (фин.помощь комитету женщин))</t>
  </si>
  <si>
    <t>1003 99 5 0000000 244</t>
  </si>
  <si>
    <t>ОБРАЗОВАНИЕ</t>
  </si>
  <si>
    <t>ОБЩЕЕ ОБРАЗОВАНИЕ</t>
  </si>
  <si>
    <t>Иные выплаты  (резервный фонд главы (фин.помощь образованию))</t>
  </si>
  <si>
    <t xml:space="preserve"> 0702 00 0 0000000 000</t>
  </si>
  <si>
    <t xml:space="preserve"> 0700 00 0 0000000 000</t>
  </si>
  <si>
    <t>0702 99 5 0000000 244</t>
  </si>
  <si>
    <t>статьи</t>
  </si>
  <si>
    <t>Прочие расходы по благоустройству города (резервный фонд главы)</t>
  </si>
  <si>
    <t xml:space="preserve"> 0503 99 5 0000000 244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</si>
  <si>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</si>
  <si>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</si>
  <si>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</si>
  <si>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</si>
  <si>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</si>
  <si>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</si>
  <si>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 xml:space="preserve"> 1003 99 0 0044360 244</t>
  </si>
  <si>
    <t>Прочие расходы (подписка ветеранам ВОВ)</t>
  </si>
  <si>
    <t>Исполнено за 8 месяцев 2016 г.</t>
  </si>
  <si>
    <t>Прогнозируемый расход до конца года</t>
  </si>
  <si>
    <t>Остаток</t>
  </si>
  <si>
    <t>План с учетом изменений</t>
  </si>
  <si>
    <t xml:space="preserve"> </t>
  </si>
  <si>
    <t>ИТОГО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</si>
  <si>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</si>
  <si>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</si>
  <si>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</si>
  <si>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</si>
  <si>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</si>
  <si>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</si>
  <si>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</si>
  <si>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</si>
  <si>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</si>
  <si>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</si>
  <si>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</si>
  <si>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</si>
  <si>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</si>
  <si>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</si>
  <si>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</si>
  <si>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</si>
  <si>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</si>
  <si>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</si>
  <si>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</si>
  <si>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</si>
  <si>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</si>
  <si>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</si>
  <si>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</si>
  <si>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</si>
  <si>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</si>
  <si>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</si>
  <si>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</si>
  <si>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 000 2 02 16001 13 0000 150</t>
  </si>
  <si>
    <t>НАЦИОНАЛЬНАЯ ЭКОНОМИКА</t>
  </si>
  <si>
    <t>0400 00 0 0000000 000</t>
  </si>
  <si>
    <t>ДРУГИЕ ВОПРОСЫ В ОБЛАСТИ НАЦИОНАЛЬНОЙ ЭКОНОМИКИ</t>
  </si>
  <si>
    <t>0412 00 0 0000000 000</t>
  </si>
  <si>
    <t>0412 99 9 0044060 240</t>
  </si>
  <si>
    <t>0412 99 9 0044060 244</t>
  </si>
  <si>
    <t xml:space="preserve"> 0503 99 3 0044440 811</t>
  </si>
  <si>
    <t xml:space="preserve"> 0801 99 9 0044440 811</t>
  </si>
  <si>
    <t xml:space="preserve"> 0804 99 9 0044330 244</t>
  </si>
  <si>
    <t xml:space="preserve"> 1101 99 8 0044440 811</t>
  </si>
  <si>
    <t xml:space="preserve"> 1202 99 6 0044350 811</t>
  </si>
  <si>
    <t>000 01 05 02 01 13 0000 510</t>
  </si>
  <si>
    <t>000 01 05 02 01 13 0000 610</t>
  </si>
  <si>
    <t>000 1 16 10123 01 0131 140</t>
  </si>
  <si>
    <t>Исполнено за 2021 г.</t>
  </si>
  <si>
    <t xml:space="preserve"> 0503 99 3 0044450 247</t>
  </si>
  <si>
    <t>1003 99 5 0099500 360</t>
  </si>
  <si>
    <t>0111 99 5 0099500  870</t>
  </si>
  <si>
    <t>0111 99 5 0099500  800</t>
  </si>
  <si>
    <t>ДОШКОЛЬНОЕ ОБРАЗОВАНИЕ</t>
  </si>
  <si>
    <t xml:space="preserve"> 0701 00 0 0000000 000</t>
  </si>
  <si>
    <t>0701 99 5 0099500 244</t>
  </si>
  <si>
    <t>Закупка энергетических ресурсов</t>
  </si>
  <si>
    <t xml:space="preserve">Непрограммные расходы органов исполнительной власти </t>
  </si>
  <si>
    <t xml:space="preserve">Расходы на содержание МБУ, МУП </t>
  </si>
  <si>
    <t>БЛАГОУСТРОЙСТВО</t>
  </si>
  <si>
    <t xml:space="preserve"> 0500 00 0 0000000 000</t>
  </si>
  <si>
    <t>0503 99 3 0044440 000</t>
  </si>
  <si>
    <t>0503 990 0000000 000</t>
  </si>
  <si>
    <t>ПРЕДОСТАВЛЕНИЕ СУБСИДИЙ БЮДЖЕТНЫМ АВТОНОМНЫМ УЧРЕЖДЕНИЯМ И ИНЫМ НЕКОММЕРЧЕСКИМ ОРГАНИЗАЦИЯМ</t>
  </si>
  <si>
    <t xml:space="preserve"> 0503 99 3 0044440 600</t>
  </si>
  <si>
    <t>Субсидии бюджетным учреждениям</t>
  </si>
  <si>
    <t>0503 99 3 0044440 611</t>
  </si>
  <si>
    <t>0503 99 3 0044440 612</t>
  </si>
  <si>
    <t>Субсидии бюджетным учреждениям (иные цели)</t>
  </si>
  <si>
    <t>Остаток на 01.01.2021 г.- 89 902,27  руб.</t>
  </si>
  <si>
    <t>01.02.</t>
  </si>
  <si>
    <t>01.03.</t>
  </si>
  <si>
    <t>01.04.</t>
  </si>
  <si>
    <t>01.06.</t>
  </si>
  <si>
    <t>04.12.</t>
  </si>
  <si>
    <t>05.03.</t>
  </si>
  <si>
    <t>07.01.</t>
  </si>
  <si>
    <t>07.02.</t>
  </si>
  <si>
    <t>07.03.</t>
  </si>
  <si>
    <t>08.01.</t>
  </si>
  <si>
    <t>08.04.</t>
  </si>
  <si>
    <t>10.01.</t>
  </si>
  <si>
    <t>10.03.</t>
  </si>
  <si>
    <t>11.01.</t>
  </si>
  <si>
    <t>12.02.</t>
  </si>
  <si>
    <t>14.03.</t>
  </si>
  <si>
    <t>ВСЕГО</t>
  </si>
  <si>
    <t>211 ЗП</t>
  </si>
  <si>
    <t>211 НДФЛ</t>
  </si>
  <si>
    <t>221 связь</t>
  </si>
  <si>
    <t>221 интернет</t>
  </si>
  <si>
    <t>223.01 энергия</t>
  </si>
  <si>
    <t>225.05 картр</t>
  </si>
  <si>
    <t>225.06 прочие</t>
  </si>
  <si>
    <t>226.01 информ</t>
  </si>
  <si>
    <t>226.07 подписка</t>
  </si>
  <si>
    <t>226.09 иные</t>
  </si>
  <si>
    <t>241 субс МБУ</t>
  </si>
  <si>
    <t>246 субс МУП</t>
  </si>
  <si>
    <t>251 возв суб</t>
  </si>
  <si>
    <t>262 мат пом</t>
  </si>
  <si>
    <t>264 пенс</t>
  </si>
  <si>
    <t>310.03 мебель</t>
  </si>
  <si>
    <t>310.04 оборуд</t>
  </si>
  <si>
    <t>310.05 иные</t>
  </si>
  <si>
    <t>343 гсм</t>
  </si>
  <si>
    <t>346 зч, канц</t>
  </si>
  <si>
    <t>349 хозтов, прочие</t>
  </si>
  <si>
    <t>касса</t>
  </si>
  <si>
    <t>под</t>
  </si>
  <si>
    <t>346 зч, канц,хоз</t>
  </si>
  <si>
    <t>349  прочие</t>
  </si>
  <si>
    <t>Безвозмездные, безвозвратные перечисления государственным и муниципальным организациям (Субсидия на содержание МУП «Ухоженный город», МУП "Чистосервис")</t>
  </si>
  <si>
    <t>0702 99 5 0099500 244</t>
  </si>
  <si>
    <t>ДОПОЛНИТЕЛЬНОЕ ОБРАЗОВАНИЕ</t>
  </si>
  <si>
    <t xml:space="preserve"> 0703 00 0 0000000 000</t>
  </si>
  <si>
    <t>0703 99 5 0099500 244</t>
  </si>
  <si>
    <r>
      <t xml:space="preserve">исполнение бюджета: </t>
    </r>
    <r>
      <rPr>
        <b/>
        <u val="single"/>
        <sz val="11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</si>
  <si>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1"/>
        <rFont val="Arial"/>
        <family val="2"/>
      </rPr>
      <t xml:space="preserve">345 </t>
    </r>
    <r>
      <rPr>
        <b/>
        <sz val="11"/>
        <rFont val="Arial"/>
        <family val="2"/>
      </rPr>
      <t xml:space="preserve">Периодичность: </t>
    </r>
    <r>
      <rPr>
        <b/>
        <u val="single"/>
        <sz val="11"/>
        <rFont val="Arial"/>
        <family val="2"/>
      </rPr>
      <t>месячная</t>
    </r>
  </si>
  <si>
    <t>3</t>
  </si>
  <si>
    <t>227 страх</t>
  </si>
  <si>
    <t>223.06 ТКО</t>
  </si>
  <si>
    <t>0909 99 5 0099500 244</t>
  </si>
  <si>
    <t>09.09.</t>
  </si>
  <si>
    <t>Иные межбюджетные трансферты</t>
  </si>
  <si>
    <t>000 2 02 40000 00 0000 150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</si>
  <si>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</si>
  <si>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</si>
  <si>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</si>
  <si>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000 2 02 45160 13 0000 150</t>
  </si>
  <si>
    <t>000 1 09 04053 13 1000 110</t>
  </si>
  <si>
    <t>-пени, штрафы</t>
  </si>
  <si>
    <t>1003 99 5 0099500 244</t>
  </si>
  <si>
    <t>СРЕДСТВА МАССОВОЙ ИНФОРМАЦИИ</t>
  </si>
  <si>
    <t xml:space="preserve"> 1202 00 0 0000000 000</t>
  </si>
  <si>
    <t>1202 99 5 0099500 244</t>
  </si>
  <si>
    <t>Сельское хозяйство и рыболовство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</si>
  <si>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</si>
  <si>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</si>
  <si>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</si>
  <si>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</si>
  <si>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</si>
  <si>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МЕЖБЮДЖЕТНЫЕ ТРАНСФЕРТЫ ОБЩЕГО ХАРАКТЕРА БЮДЖЕТАМ БЮДЖЕТНОЙ СИСТЕМЫ РОССИЙСКОЙ ФЕДЕРАЦИИ</t>
  </si>
  <si>
    <t>1400 00 0 0000000 000</t>
  </si>
  <si>
    <t>Прочие межбюджетные трансферты общего характера</t>
  </si>
  <si>
    <t>1403 0 00 0000000 000</t>
  </si>
  <si>
    <t>Непрограммные расходы органов исполнительной власти</t>
  </si>
  <si>
    <t>1403 99 0 0000000 000</t>
  </si>
  <si>
    <t>Иные непрограммные расходы</t>
  </si>
  <si>
    <t>1403 99 9 0000000 000</t>
  </si>
  <si>
    <t>Субсидии Республиканскому бюджету в соответствии со ст.142.2 БК РФ (отрицательный трансферт)</t>
  </si>
  <si>
    <t>1403 99 9 0044500 000</t>
  </si>
  <si>
    <t>1403 99 9 0044500 540</t>
  </si>
  <si>
    <t>851 имущество</t>
  </si>
  <si>
    <t>852 транспортн</t>
  </si>
  <si>
    <t>853 штраф</t>
  </si>
  <si>
    <t>РАСШИФРОВКА КАССОВОГО РАСХОДА НА 01.11.2021 г.  АМС Г.БЕСЛАН</t>
  </si>
  <si>
    <t>РАСШИФРОВКА ФАКТИЧЕСКИ НАЧИСЛЕНО НА 01.11.2021 г.  АМС Г.БЕСЛАН</t>
  </si>
  <si>
    <t>Неисполненные назначения на 26.11.2021 г.</t>
  </si>
  <si>
    <t>на 01 января 2022 г.</t>
  </si>
  <si>
    <t>НДФЛ для налогового агента с доходов свыше 5 млн руб. (по ставке 15%)</t>
  </si>
  <si>
    <t>000 1 01 02080 01 1000 110</t>
  </si>
  <si>
    <t>000 1 01 02050 01 2100 110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</si>
  <si>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</si>
  <si>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0804 99 5 0099500 244</t>
  </si>
  <si>
    <t>И.о.главы АМС</t>
  </si>
  <si>
    <t xml:space="preserve">                 ___________________                  Караева Н.К.</t>
  </si>
  <si>
    <t>Остаток на 01.01.2022 г. - 3 977 403,46 руб.</t>
  </si>
  <si>
    <t>ОТЧЕТ ОБ ИСПОЛНЕНИИ БЮДЖЕТА (ГОДОВОЙ)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</si>
</sst>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58" applyFont="1" applyAlignment="1">
      <alignment/>
    </xf>
    <xf numFmtId="43" fontId="3" fillId="33" borderId="11" xfId="58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3" fontId="3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4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33" borderId="13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7" fillId="33" borderId="10" xfId="58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wrapText="1"/>
    </xf>
    <xf numFmtId="49" fontId="4" fillId="33" borderId="13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43" fontId="3" fillId="33" borderId="19" xfId="58" applyFont="1" applyFill="1" applyBorder="1" applyAlignment="1">
      <alignment wrapText="1"/>
    </xf>
    <xf numFmtId="4" fontId="3" fillId="33" borderId="2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2" fillId="33" borderId="15" xfId="0" applyNumberFormat="1" applyFont="1" applyFill="1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3" fontId="2" fillId="0" borderId="23" xfId="58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58" applyNumberFormat="1" applyFont="1" applyBorder="1" applyAlignment="1">
      <alignment horizontal="center"/>
    </xf>
    <xf numFmtId="4" fontId="3" fillId="0" borderId="10" xfId="58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33" borderId="10" xfId="58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58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 wrapText="1"/>
    </xf>
    <xf numFmtId="4" fontId="10" fillId="33" borderId="10" xfId="58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43" fontId="3" fillId="33" borderId="11" xfId="58" applyFont="1" applyFill="1" applyBorder="1" applyAlignment="1">
      <alignment horizontal="left" wrapText="1"/>
    </xf>
    <xf numFmtId="4" fontId="3" fillId="33" borderId="28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58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79" fontId="3" fillId="33" borderId="10" xfId="58" applyNumberFormat="1" applyFont="1" applyFill="1" applyBorder="1" applyAlignment="1">
      <alignment horizontal="right" wrapText="1"/>
    </xf>
    <xf numFmtId="43" fontId="3" fillId="33" borderId="10" xfId="58" applyFont="1" applyFill="1" applyBorder="1" applyAlignment="1">
      <alignment horizontal="right" wrapText="1"/>
    </xf>
    <xf numFmtId="43" fontId="3" fillId="33" borderId="21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horizontal="right" wrapText="1"/>
    </xf>
    <xf numFmtId="43" fontId="6" fillId="33" borderId="21" xfId="0" applyNumberFormat="1" applyFont="1" applyFill="1" applyBorder="1" applyAlignment="1">
      <alignment horizontal="right" wrapText="1"/>
    </xf>
    <xf numFmtId="4" fontId="3" fillId="33" borderId="10" xfId="58" applyNumberFormat="1" applyFont="1" applyFill="1" applyBorder="1" applyAlignment="1">
      <alignment horizontal="right" wrapText="1"/>
    </xf>
    <xf numFmtId="4" fontId="3" fillId="33" borderId="21" xfId="0" applyNumberFormat="1" applyFont="1" applyFill="1" applyBorder="1" applyAlignment="1">
      <alignment horizontal="right" wrapText="1"/>
    </xf>
    <xf numFmtId="4" fontId="6" fillId="33" borderId="10" xfId="58" applyNumberFormat="1" applyFont="1" applyFill="1" applyBorder="1" applyAlignment="1">
      <alignment horizontal="right" wrapText="1"/>
    </xf>
    <xf numFmtId="4" fontId="6" fillId="33" borderId="21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58" applyNumberFormat="1" applyFont="1" applyFill="1" applyBorder="1" applyAlignment="1">
      <alignment horizontal="right" wrapText="1"/>
    </xf>
    <xf numFmtId="4" fontId="6" fillId="33" borderId="15" xfId="0" applyNumberFormat="1" applyFont="1" applyFill="1" applyBorder="1" applyAlignment="1">
      <alignment horizontal="right" wrapText="1"/>
    </xf>
    <xf numFmtId="4" fontId="6" fillId="33" borderId="25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3" fillId="0" borderId="23" xfId="58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4" fontId="6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wrapText="1"/>
    </xf>
    <xf numFmtId="4" fontId="6" fillId="33" borderId="21" xfId="0" applyNumberFormat="1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4" fontId="10" fillId="33" borderId="21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 wrapText="1"/>
    </xf>
    <xf numFmtId="49" fontId="3" fillId="33" borderId="13" xfId="0" applyNumberFormat="1" applyFont="1" applyFill="1" applyBorder="1" applyAlignment="1">
      <alignment wrapText="1"/>
    </xf>
    <xf numFmtId="49" fontId="10" fillId="33" borderId="13" xfId="0" applyNumberFormat="1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 vertical="top" wrapText="1"/>
    </xf>
    <xf numFmtId="4" fontId="3" fillId="33" borderId="15" xfId="58" applyNumberFormat="1" applyFont="1" applyFill="1" applyBorder="1" applyAlignment="1">
      <alignment wrapText="1"/>
    </xf>
    <xf numFmtId="4" fontId="3" fillId="33" borderId="25" xfId="0" applyNumberFormat="1" applyFont="1" applyFill="1" applyBorder="1" applyAlignment="1">
      <alignment wrapText="1"/>
    </xf>
    <xf numFmtId="4" fontId="4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" fontId="6" fillId="33" borderId="32" xfId="58" applyNumberFormat="1" applyFont="1" applyFill="1" applyBorder="1" applyAlignment="1">
      <alignment wrapText="1"/>
    </xf>
    <xf numFmtId="4" fontId="6" fillId="33" borderId="32" xfId="0" applyNumberFormat="1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4" fontId="3" fillId="33" borderId="32" xfId="58" applyNumberFormat="1" applyFont="1" applyFill="1" applyBorder="1" applyAlignment="1">
      <alignment wrapText="1"/>
    </xf>
    <xf numFmtId="4" fontId="10" fillId="33" borderId="32" xfId="58" applyNumberFormat="1" applyFont="1" applyFill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3" fillId="33" borderId="13" xfId="0" applyFont="1" applyFill="1" applyBorder="1" applyAlignment="1">
      <alignment vertical="top" wrapText="1"/>
    </xf>
    <xf numFmtId="4" fontId="3" fillId="33" borderId="10" xfId="58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top" wrapText="1"/>
    </xf>
    <xf numFmtId="4" fontId="6" fillId="33" borderId="10" xfId="58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33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3" fontId="3" fillId="33" borderId="23" xfId="58" applyFont="1" applyFill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horizontal="right" wrapText="1"/>
    </xf>
    <xf numFmtId="43" fontId="6" fillId="33" borderId="21" xfId="0" applyNumberFormat="1" applyFont="1" applyFill="1" applyBorder="1" applyAlignment="1">
      <alignment horizontal="right" wrapText="1"/>
    </xf>
    <xf numFmtId="0" fontId="6" fillId="33" borderId="2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wrapText="1"/>
    </xf>
    <xf numFmtId="4" fontId="3" fillId="33" borderId="10" xfId="58" applyNumberFormat="1" applyFont="1" applyFill="1" applyBorder="1" applyAlignment="1">
      <alignment wrapText="1"/>
    </xf>
    <xf numFmtId="4" fontId="3" fillId="33" borderId="21" xfId="0" applyNumberFormat="1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 wrapText="1"/>
    </xf>
    <xf numFmtId="4" fontId="10" fillId="33" borderId="10" xfId="58" applyNumberFormat="1" applyFont="1" applyFill="1" applyBorder="1" applyAlignment="1">
      <alignment wrapText="1"/>
    </xf>
    <xf numFmtId="4" fontId="10" fillId="33" borderId="2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" fillId="33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3" fontId="3" fillId="33" borderId="40" xfId="58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8" fillId="0" borderId="10" xfId="0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4" fontId="7" fillId="33" borderId="10" xfId="58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20">
      <selection activeCell="A1" sqref="A1:F28"/>
    </sheetView>
  </sheetViews>
  <sheetFormatPr defaultColWidth="9.00390625" defaultRowHeight="12.75"/>
  <cols>
    <col min="1" max="1" width="61.875" style="9" customWidth="1"/>
    <col min="2" max="2" width="12.00390625" style="2" customWidth="1"/>
    <col min="3" max="3" width="33.625" style="2" customWidth="1"/>
    <col min="4" max="4" width="27.25390625" style="10" customWidth="1"/>
    <col min="5" max="5" width="24.875" style="104" customWidth="1"/>
    <col min="6" max="6" width="29.75390625" style="9" customWidth="1"/>
    <col min="7" max="16384" width="9.125" style="9" customWidth="1"/>
  </cols>
  <sheetData>
    <row r="2" spans="1:6" ht="20.25" customHeight="1">
      <c r="A2" s="178" t="s">
        <v>384</v>
      </c>
      <c r="B2" s="179"/>
      <c r="C2" s="179"/>
      <c r="D2" s="179"/>
      <c r="E2" s="179"/>
      <c r="F2" s="179"/>
    </row>
    <row r="3" spans="1:6" ht="17.25" customHeight="1">
      <c r="A3" s="180" t="s">
        <v>375</v>
      </c>
      <c r="B3" s="179"/>
      <c r="C3" s="179"/>
      <c r="D3" s="179"/>
      <c r="E3" s="179"/>
      <c r="F3" s="179"/>
    </row>
    <row r="4" ht="15.75" thickBot="1">
      <c r="A4" s="103"/>
    </row>
    <row r="5" spans="1:6" ht="20.25" customHeight="1">
      <c r="A5" s="105"/>
      <c r="B5" s="34" t="s">
        <v>0</v>
      </c>
      <c r="C5" s="34" t="s">
        <v>1</v>
      </c>
      <c r="D5" s="181" t="s">
        <v>285</v>
      </c>
      <c r="E5" s="182"/>
      <c r="F5" s="183"/>
    </row>
    <row r="6" spans="1:9" ht="15">
      <c r="A6" s="106"/>
      <c r="B6" s="107"/>
      <c r="C6" s="107"/>
      <c r="D6" s="184"/>
      <c r="E6" s="184"/>
      <c r="F6" s="185"/>
      <c r="I6" s="2"/>
    </row>
    <row r="7" spans="1:6" ht="15">
      <c r="A7" s="106" t="s">
        <v>2</v>
      </c>
      <c r="B7" s="107"/>
      <c r="C7" s="107"/>
      <c r="D7" s="108"/>
      <c r="E7" s="109"/>
      <c r="F7" s="110"/>
    </row>
    <row r="8" spans="1:6" ht="15">
      <c r="A8" s="106" t="s">
        <v>333</v>
      </c>
      <c r="B8" s="107"/>
      <c r="C8" s="107"/>
      <c r="D8" s="108"/>
      <c r="E8" s="109"/>
      <c r="F8" s="110"/>
    </row>
    <row r="9" spans="1:6" ht="15">
      <c r="A9" s="106" t="s">
        <v>334</v>
      </c>
      <c r="B9" s="107"/>
      <c r="C9" s="107"/>
      <c r="D9" s="108"/>
      <c r="E9" s="109"/>
      <c r="F9" s="110"/>
    </row>
    <row r="10" spans="1:6" ht="15.75" thickBot="1">
      <c r="A10" s="106"/>
      <c r="B10" s="107"/>
      <c r="C10" s="107"/>
      <c r="D10" s="108"/>
      <c r="E10" s="109"/>
      <c r="F10" s="110"/>
    </row>
    <row r="11" spans="1:6" s="111" customFormat="1" ht="12.75" customHeight="1">
      <c r="A11" s="186" t="s">
        <v>3</v>
      </c>
      <c r="B11" s="190" t="s">
        <v>4</v>
      </c>
      <c r="C11" s="190" t="s">
        <v>5</v>
      </c>
      <c r="D11" s="188" t="s">
        <v>73</v>
      </c>
      <c r="E11" s="192" t="s">
        <v>264</v>
      </c>
      <c r="F11" s="194" t="s">
        <v>185</v>
      </c>
    </row>
    <row r="12" spans="1:6" s="111" customFormat="1" ht="15">
      <c r="A12" s="187"/>
      <c r="B12" s="191"/>
      <c r="C12" s="191"/>
      <c r="D12" s="189"/>
      <c r="E12" s="193"/>
      <c r="F12" s="195"/>
    </row>
    <row r="13" spans="1:6" s="111" customFormat="1" ht="15">
      <c r="A13" s="187"/>
      <c r="B13" s="191"/>
      <c r="C13" s="191"/>
      <c r="D13" s="189"/>
      <c r="E13" s="193"/>
      <c r="F13" s="195"/>
    </row>
    <row r="14" spans="1:10" s="111" customFormat="1" ht="69.75" customHeight="1">
      <c r="A14" s="187"/>
      <c r="B14" s="191"/>
      <c r="C14" s="191"/>
      <c r="D14" s="189"/>
      <c r="E14" s="193"/>
      <c r="F14" s="196"/>
      <c r="J14" s="102"/>
    </row>
    <row r="15" spans="1:6" ht="19.5" customHeight="1">
      <c r="A15" s="113" t="s">
        <v>6</v>
      </c>
      <c r="B15" s="112">
        <v>10</v>
      </c>
      <c r="C15" s="112" t="s">
        <v>7</v>
      </c>
      <c r="D15" s="114">
        <f>D16+D51</f>
        <v>80889000</v>
      </c>
      <c r="E15" s="115">
        <f>E16+E51</f>
        <v>71311515.33</v>
      </c>
      <c r="F15" s="116">
        <f>D15-E15</f>
        <v>9577484.670000002</v>
      </c>
    </row>
    <row r="16" spans="1:6" ht="28.5" customHeight="1">
      <c r="A16" s="113" t="s">
        <v>8</v>
      </c>
      <c r="B16" s="112">
        <v>10</v>
      </c>
      <c r="C16" s="112" t="s">
        <v>85</v>
      </c>
      <c r="D16" s="115">
        <f>D17+D24+D33+D40+D44+D46+D48</f>
        <v>80400000</v>
      </c>
      <c r="E16" s="115">
        <f>E17+E24+E33+E40+E44+E46+E48+E38+E39</f>
        <v>70822515.33</v>
      </c>
      <c r="F16" s="116">
        <f>D16-E16</f>
        <v>9577484.670000002</v>
      </c>
    </row>
    <row r="17" spans="1:6" ht="22.5" customHeight="1">
      <c r="A17" s="113" t="s">
        <v>9</v>
      </c>
      <c r="B17" s="112">
        <v>10</v>
      </c>
      <c r="C17" s="112" t="s">
        <v>10</v>
      </c>
      <c r="D17" s="115">
        <f>SUM(D18:D20)</f>
        <v>29800000</v>
      </c>
      <c r="E17" s="115">
        <f>SUM(E18:E23)</f>
        <v>31269239.9</v>
      </c>
      <c r="F17" s="116">
        <f>D17-E17</f>
        <v>-1469239.8999999985</v>
      </c>
    </row>
    <row r="18" spans="1:6" s="12" customFormat="1" ht="77.25" customHeight="1">
      <c r="A18" s="201" t="s">
        <v>87</v>
      </c>
      <c r="B18" s="197">
        <v>10</v>
      </c>
      <c r="C18" s="197" t="s">
        <v>11</v>
      </c>
      <c r="D18" s="198">
        <v>29700000</v>
      </c>
      <c r="E18" s="198">
        <v>30870212.62</v>
      </c>
      <c r="F18" s="199">
        <f>D18-E18</f>
        <v>-1170212.620000001</v>
      </c>
    </row>
    <row r="19" spans="1:6" s="12" customFormat="1" ht="13.5" customHeight="1" hidden="1" thickBot="1">
      <c r="A19" s="201"/>
      <c r="B19" s="197"/>
      <c r="C19" s="197"/>
      <c r="D19" s="198"/>
      <c r="E19" s="198"/>
      <c r="F19" s="200"/>
    </row>
    <row r="20" spans="1:10" s="12" customFormat="1" ht="108.75" customHeight="1">
      <c r="A20" s="117" t="s">
        <v>88</v>
      </c>
      <c r="B20" s="118">
        <v>10</v>
      </c>
      <c r="C20" s="118" t="s">
        <v>12</v>
      </c>
      <c r="D20" s="119">
        <v>100000</v>
      </c>
      <c r="E20" s="119">
        <v>125316.8</v>
      </c>
      <c r="F20" s="120">
        <f>D20-E20</f>
        <v>-25316.800000000003</v>
      </c>
      <c r="I20" s="79"/>
      <c r="J20" s="79"/>
    </row>
    <row r="21" spans="1:10" s="12" customFormat="1" ht="81.75" customHeight="1">
      <c r="A21" s="167" t="s">
        <v>112</v>
      </c>
      <c r="B21" s="118">
        <v>10</v>
      </c>
      <c r="C21" s="118" t="s">
        <v>113</v>
      </c>
      <c r="D21" s="119"/>
      <c r="E21" s="119">
        <v>252867.93</v>
      </c>
      <c r="F21" s="120">
        <f>D21-E21</f>
        <v>-252867.93</v>
      </c>
      <c r="I21" s="177"/>
      <c r="J21" s="79"/>
    </row>
    <row r="22" spans="1:6" s="12" customFormat="1" ht="60.75" customHeight="1">
      <c r="A22" s="168" t="s">
        <v>379</v>
      </c>
      <c r="B22" s="118">
        <v>10</v>
      </c>
      <c r="C22" s="118" t="s">
        <v>378</v>
      </c>
      <c r="D22" s="119"/>
      <c r="E22" s="119">
        <v>1.97</v>
      </c>
      <c r="F22" s="120">
        <f>D22-E22</f>
        <v>-1.97</v>
      </c>
    </row>
    <row r="23" spans="1:6" s="12" customFormat="1" ht="30" customHeight="1">
      <c r="A23" s="169" t="s">
        <v>376</v>
      </c>
      <c r="B23" s="118">
        <v>10</v>
      </c>
      <c r="C23" s="118" t="s">
        <v>377</v>
      </c>
      <c r="D23" s="119"/>
      <c r="E23" s="119">
        <v>20840.58</v>
      </c>
      <c r="F23" s="120">
        <f>D23-E23</f>
        <v>-20840.58</v>
      </c>
    </row>
    <row r="24" spans="1:6" ht="20.25" customHeight="1">
      <c r="A24" s="113" t="s">
        <v>74</v>
      </c>
      <c r="B24" s="112">
        <v>10</v>
      </c>
      <c r="C24" s="112" t="s">
        <v>77</v>
      </c>
      <c r="D24" s="121">
        <f>D25+D30</f>
        <v>16500000</v>
      </c>
      <c r="E24" s="121">
        <f>E25+E30</f>
        <v>12679587.899999999</v>
      </c>
      <c r="F24" s="122">
        <f>D24-E24</f>
        <v>3820412.1000000015</v>
      </c>
    </row>
    <row r="25" spans="1:6" ht="21.75" customHeight="1">
      <c r="A25" s="113" t="s">
        <v>13</v>
      </c>
      <c r="B25" s="112">
        <v>10</v>
      </c>
      <c r="C25" s="112" t="s">
        <v>14</v>
      </c>
      <c r="D25" s="121">
        <f>D26+D28+D29</f>
        <v>15500000</v>
      </c>
      <c r="E25" s="121">
        <f>E26+E28+E29+E27</f>
        <v>12359455.79</v>
      </c>
      <c r="F25" s="122">
        <f aca="true" t="shared" si="0" ref="F25:F54">D25-E25</f>
        <v>3140544.210000001</v>
      </c>
    </row>
    <row r="26" spans="1:6" s="12" customFormat="1" ht="33.75" customHeight="1">
      <c r="A26" s="117" t="s">
        <v>89</v>
      </c>
      <c r="B26" s="118">
        <v>10</v>
      </c>
      <c r="C26" s="118" t="s">
        <v>15</v>
      </c>
      <c r="D26" s="123">
        <v>9500000</v>
      </c>
      <c r="E26" s="123">
        <v>7907441.66</v>
      </c>
      <c r="F26" s="124">
        <f t="shared" si="0"/>
        <v>1592558.3399999999</v>
      </c>
    </row>
    <row r="27" spans="1:6" s="12" customFormat="1" ht="46.5" customHeight="1">
      <c r="A27" s="167" t="s">
        <v>118</v>
      </c>
      <c r="B27" s="118">
        <v>10</v>
      </c>
      <c r="C27" s="118" t="s">
        <v>117</v>
      </c>
      <c r="D27" s="123"/>
      <c r="E27" s="123">
        <v>32660.26</v>
      </c>
      <c r="F27" s="124">
        <f t="shared" si="0"/>
        <v>-32660.26</v>
      </c>
    </row>
    <row r="28" spans="1:6" s="12" customFormat="1" ht="42.75">
      <c r="A28" s="117" t="s">
        <v>90</v>
      </c>
      <c r="B28" s="118">
        <v>10</v>
      </c>
      <c r="C28" s="118" t="s">
        <v>16</v>
      </c>
      <c r="D28" s="123">
        <v>6000000</v>
      </c>
      <c r="E28" s="123">
        <v>4419380.77</v>
      </c>
      <c r="F28" s="124">
        <f t="shared" si="0"/>
        <v>1580619.2300000004</v>
      </c>
    </row>
    <row r="29" spans="1:6" s="12" customFormat="1" ht="59.25" customHeight="1">
      <c r="A29" s="167" t="s">
        <v>91</v>
      </c>
      <c r="B29" s="118">
        <v>10</v>
      </c>
      <c r="C29" s="118" t="s">
        <v>17</v>
      </c>
      <c r="D29" s="123"/>
      <c r="E29" s="123">
        <v>-26.9</v>
      </c>
      <c r="F29" s="124">
        <f t="shared" si="0"/>
        <v>26.9</v>
      </c>
    </row>
    <row r="30" spans="1:6" ht="22.5" customHeight="1">
      <c r="A30" s="113" t="s">
        <v>18</v>
      </c>
      <c r="B30" s="112">
        <v>10</v>
      </c>
      <c r="C30" s="112" t="s">
        <v>19</v>
      </c>
      <c r="D30" s="121">
        <f>D31</f>
        <v>1000000</v>
      </c>
      <c r="E30" s="121">
        <f>E31+E32</f>
        <v>320132.11000000004</v>
      </c>
      <c r="F30" s="122">
        <f t="shared" si="0"/>
        <v>679867.8899999999</v>
      </c>
    </row>
    <row r="31" spans="1:6" s="12" customFormat="1" ht="19.5" customHeight="1">
      <c r="A31" s="117" t="s">
        <v>18</v>
      </c>
      <c r="B31" s="118">
        <v>10</v>
      </c>
      <c r="C31" s="118" t="s">
        <v>20</v>
      </c>
      <c r="D31" s="123">
        <v>1000000</v>
      </c>
      <c r="E31" s="123">
        <v>333401.27</v>
      </c>
      <c r="F31" s="124">
        <f t="shared" si="0"/>
        <v>666598.73</v>
      </c>
    </row>
    <row r="32" spans="1:6" s="12" customFormat="1" ht="28.5" customHeight="1">
      <c r="A32" s="167" t="s">
        <v>115</v>
      </c>
      <c r="B32" s="118">
        <v>10</v>
      </c>
      <c r="C32" s="118" t="s">
        <v>116</v>
      </c>
      <c r="D32" s="123"/>
      <c r="E32" s="123">
        <v>-13269.16</v>
      </c>
      <c r="F32" s="124">
        <f t="shared" si="0"/>
        <v>13269.16</v>
      </c>
    </row>
    <row r="33" spans="1:6" ht="19.5" customHeight="1">
      <c r="A33" s="113" t="s">
        <v>21</v>
      </c>
      <c r="B33" s="112">
        <v>10</v>
      </c>
      <c r="C33" s="112" t="s">
        <v>22</v>
      </c>
      <c r="D33" s="121">
        <f>D34+D35</f>
        <v>27400000</v>
      </c>
      <c r="E33" s="121">
        <f>E34+E35</f>
        <v>21242368.85</v>
      </c>
      <c r="F33" s="122">
        <f t="shared" si="0"/>
        <v>6157631.1499999985</v>
      </c>
    </row>
    <row r="34" spans="1:6" ht="51.75" customHeight="1">
      <c r="A34" s="113" t="s">
        <v>93</v>
      </c>
      <c r="B34" s="112">
        <v>10</v>
      </c>
      <c r="C34" s="112" t="s">
        <v>92</v>
      </c>
      <c r="D34" s="121">
        <v>3500000</v>
      </c>
      <c r="E34" s="121">
        <v>2234502.14</v>
      </c>
      <c r="F34" s="122">
        <f t="shared" si="0"/>
        <v>1265497.8599999999</v>
      </c>
    </row>
    <row r="35" spans="1:6" ht="19.5" customHeight="1">
      <c r="A35" s="113" t="s">
        <v>23</v>
      </c>
      <c r="B35" s="112">
        <v>10</v>
      </c>
      <c r="C35" s="112" t="s">
        <v>24</v>
      </c>
      <c r="D35" s="121">
        <f>D36+D37</f>
        <v>23900000</v>
      </c>
      <c r="E35" s="121">
        <f>E36+E37</f>
        <v>19007866.71</v>
      </c>
      <c r="F35" s="122">
        <f t="shared" si="0"/>
        <v>4892133.289999999</v>
      </c>
    </row>
    <row r="36" spans="1:6" s="12" customFormat="1" ht="33.75" customHeight="1">
      <c r="A36" s="117" t="s">
        <v>94</v>
      </c>
      <c r="B36" s="118">
        <v>10</v>
      </c>
      <c r="C36" s="118" t="s">
        <v>95</v>
      </c>
      <c r="D36" s="123">
        <v>17400000</v>
      </c>
      <c r="E36" s="123">
        <v>11916377.18</v>
      </c>
      <c r="F36" s="124">
        <f t="shared" si="0"/>
        <v>5483622.82</v>
      </c>
    </row>
    <row r="37" spans="1:6" s="12" customFormat="1" ht="34.5" customHeight="1">
      <c r="A37" s="117" t="s">
        <v>96</v>
      </c>
      <c r="B37" s="118">
        <v>10</v>
      </c>
      <c r="C37" s="118" t="s">
        <v>97</v>
      </c>
      <c r="D37" s="123">
        <v>6500000</v>
      </c>
      <c r="E37" s="123">
        <v>7091489.53</v>
      </c>
      <c r="F37" s="124">
        <f t="shared" si="0"/>
        <v>-591489.5300000003</v>
      </c>
    </row>
    <row r="38" spans="1:6" s="12" customFormat="1" ht="61.5" customHeight="1">
      <c r="A38" s="161" t="s">
        <v>114</v>
      </c>
      <c r="B38" s="112">
        <v>10</v>
      </c>
      <c r="C38" s="112" t="s">
        <v>346</v>
      </c>
      <c r="D38" s="121"/>
      <c r="E38" s="121">
        <v>-2753.83</v>
      </c>
      <c r="F38" s="122">
        <f t="shared" si="0"/>
        <v>2753.83</v>
      </c>
    </row>
    <row r="39" spans="1:6" s="12" customFormat="1" ht="47.25" customHeight="1">
      <c r="A39" s="113" t="s">
        <v>106</v>
      </c>
      <c r="B39" s="112">
        <v>10</v>
      </c>
      <c r="C39" s="112" t="s">
        <v>263</v>
      </c>
      <c r="D39" s="121"/>
      <c r="E39" s="121">
        <v>54937.8</v>
      </c>
      <c r="F39" s="124">
        <f t="shared" si="0"/>
        <v>-54937.8</v>
      </c>
    </row>
    <row r="40" spans="1:6" ht="36" customHeight="1">
      <c r="A40" s="113" t="s">
        <v>25</v>
      </c>
      <c r="B40" s="112">
        <v>10</v>
      </c>
      <c r="C40" s="112" t="s">
        <v>26</v>
      </c>
      <c r="D40" s="121">
        <f>D41+D42+D43</f>
        <v>5000000</v>
      </c>
      <c r="E40" s="121">
        <f>E41+E42+E43</f>
        <v>4346127.3100000005</v>
      </c>
      <c r="F40" s="122">
        <f t="shared" si="0"/>
        <v>653872.6899999995</v>
      </c>
    </row>
    <row r="41" spans="1:6" s="12" customFormat="1" ht="87" customHeight="1">
      <c r="A41" s="117" t="s">
        <v>98</v>
      </c>
      <c r="B41" s="118">
        <v>10</v>
      </c>
      <c r="C41" s="118" t="s">
        <v>99</v>
      </c>
      <c r="D41" s="123">
        <v>4900000</v>
      </c>
      <c r="E41" s="123">
        <v>1673154.19</v>
      </c>
      <c r="F41" s="124">
        <f t="shared" si="0"/>
        <v>3226845.81</v>
      </c>
    </row>
    <row r="42" spans="1:6" s="12" customFormat="1" ht="75.75" customHeight="1">
      <c r="A42" s="117" t="s">
        <v>100</v>
      </c>
      <c r="B42" s="118">
        <v>10</v>
      </c>
      <c r="C42" s="118" t="s">
        <v>101</v>
      </c>
      <c r="D42" s="123">
        <v>100000</v>
      </c>
      <c r="E42" s="125">
        <v>2672973.12</v>
      </c>
      <c r="F42" s="124">
        <f t="shared" si="0"/>
        <v>-2572973.12</v>
      </c>
    </row>
    <row r="43" spans="1:6" s="12" customFormat="1" ht="71.25" hidden="1">
      <c r="A43" s="117" t="s">
        <v>102</v>
      </c>
      <c r="B43" s="118">
        <v>10</v>
      </c>
      <c r="C43" s="118" t="s">
        <v>103</v>
      </c>
      <c r="D43" s="123">
        <v>0</v>
      </c>
      <c r="E43" s="125">
        <v>0</v>
      </c>
      <c r="F43" s="124">
        <f t="shared" si="0"/>
        <v>0</v>
      </c>
    </row>
    <row r="44" spans="1:6" ht="31.5" customHeight="1">
      <c r="A44" s="113" t="s">
        <v>27</v>
      </c>
      <c r="B44" s="112">
        <v>10</v>
      </c>
      <c r="C44" s="112" t="s">
        <v>28</v>
      </c>
      <c r="D44" s="121">
        <f>D45</f>
        <v>1500000</v>
      </c>
      <c r="E44" s="121">
        <f>E45</f>
        <v>1101418</v>
      </c>
      <c r="F44" s="122">
        <f t="shared" si="0"/>
        <v>398582</v>
      </c>
    </row>
    <row r="45" spans="1:6" ht="48" customHeight="1">
      <c r="A45" s="167" t="s">
        <v>104</v>
      </c>
      <c r="B45" s="118">
        <v>10</v>
      </c>
      <c r="C45" s="160" t="s">
        <v>105</v>
      </c>
      <c r="D45" s="123">
        <v>1500000</v>
      </c>
      <c r="E45" s="123">
        <v>1101418</v>
      </c>
      <c r="F45" s="124">
        <f t="shared" si="0"/>
        <v>398582</v>
      </c>
    </row>
    <row r="46" spans="1:6" ht="24" customHeight="1">
      <c r="A46" s="113" t="s">
        <v>29</v>
      </c>
      <c r="B46" s="112">
        <v>10</v>
      </c>
      <c r="C46" s="112" t="s">
        <v>30</v>
      </c>
      <c r="D46" s="121">
        <f>D47</f>
        <v>100000</v>
      </c>
      <c r="E46" s="126">
        <f>E47</f>
        <v>30000</v>
      </c>
      <c r="F46" s="122">
        <f t="shared" si="0"/>
        <v>70000</v>
      </c>
    </row>
    <row r="47" spans="1:6" s="12" customFormat="1" ht="42" customHeight="1">
      <c r="A47" s="117" t="s">
        <v>106</v>
      </c>
      <c r="B47" s="118">
        <v>10</v>
      </c>
      <c r="C47" s="118" t="s">
        <v>263</v>
      </c>
      <c r="D47" s="123">
        <v>100000</v>
      </c>
      <c r="E47" s="125">
        <v>30000</v>
      </c>
      <c r="F47" s="124">
        <f t="shared" si="0"/>
        <v>70000</v>
      </c>
    </row>
    <row r="48" spans="1:6" ht="21" customHeight="1">
      <c r="A48" s="113" t="s">
        <v>31</v>
      </c>
      <c r="B48" s="112">
        <v>10</v>
      </c>
      <c r="C48" s="112" t="s">
        <v>32</v>
      </c>
      <c r="D48" s="121">
        <f>D50</f>
        <v>100000</v>
      </c>
      <c r="E48" s="126">
        <f>E50+E49</f>
        <v>101589.4</v>
      </c>
      <c r="F48" s="122">
        <f t="shared" si="0"/>
        <v>-1589.3999999999942</v>
      </c>
    </row>
    <row r="49" spans="1:6" ht="32.25" customHeight="1">
      <c r="A49" s="117" t="s">
        <v>110</v>
      </c>
      <c r="B49" s="112">
        <v>10</v>
      </c>
      <c r="C49" s="118" t="s">
        <v>111</v>
      </c>
      <c r="D49" s="123"/>
      <c r="E49" s="125">
        <v>30046.4</v>
      </c>
      <c r="F49" s="124">
        <f t="shared" si="0"/>
        <v>-30046.4</v>
      </c>
    </row>
    <row r="50" spans="1:6" s="12" customFormat="1" ht="26.25" customHeight="1">
      <c r="A50" s="167" t="s">
        <v>107</v>
      </c>
      <c r="B50" s="118">
        <v>10</v>
      </c>
      <c r="C50" s="118" t="s">
        <v>108</v>
      </c>
      <c r="D50" s="123">
        <v>100000</v>
      </c>
      <c r="E50" s="125">
        <v>71543</v>
      </c>
      <c r="F50" s="124">
        <f t="shared" si="0"/>
        <v>28457</v>
      </c>
    </row>
    <row r="51" spans="1:6" ht="29.25" customHeight="1">
      <c r="A51" s="113" t="s">
        <v>33</v>
      </c>
      <c r="B51" s="112">
        <v>10</v>
      </c>
      <c r="C51" s="112" t="s">
        <v>34</v>
      </c>
      <c r="D51" s="121">
        <f>D52+D53</f>
        <v>489000</v>
      </c>
      <c r="E51" s="121">
        <f>E52+E53</f>
        <v>489000</v>
      </c>
      <c r="F51" s="122">
        <f t="shared" si="0"/>
        <v>0</v>
      </c>
    </row>
    <row r="52" spans="1:6" ht="36" customHeight="1" thickBot="1">
      <c r="A52" s="127" t="s">
        <v>109</v>
      </c>
      <c r="B52" s="128">
        <v>10</v>
      </c>
      <c r="C52" s="128" t="s">
        <v>249</v>
      </c>
      <c r="D52" s="129">
        <v>474000</v>
      </c>
      <c r="E52" s="130">
        <v>474000</v>
      </c>
      <c r="F52" s="131">
        <f t="shared" si="0"/>
        <v>0</v>
      </c>
    </row>
    <row r="53" spans="1:6" ht="22.5" customHeight="1">
      <c r="A53" s="170" t="s">
        <v>340</v>
      </c>
      <c r="B53" s="112">
        <v>10</v>
      </c>
      <c r="C53" s="112" t="s">
        <v>341</v>
      </c>
      <c r="D53" s="171">
        <f>D54</f>
        <v>15000</v>
      </c>
      <c r="E53" s="171">
        <f>E54</f>
        <v>15000</v>
      </c>
      <c r="F53" s="172">
        <f t="shared" si="0"/>
        <v>0</v>
      </c>
    </row>
    <row r="54" spans="1:6" ht="60.75" customHeight="1">
      <c r="A54" s="173" t="s">
        <v>342</v>
      </c>
      <c r="B54" s="118">
        <v>10</v>
      </c>
      <c r="C54" s="118" t="s">
        <v>343</v>
      </c>
      <c r="D54" s="174">
        <f>D55</f>
        <v>15000</v>
      </c>
      <c r="E54" s="174">
        <f>E55</f>
        <v>15000</v>
      </c>
      <c r="F54" s="175">
        <f t="shared" si="0"/>
        <v>0</v>
      </c>
    </row>
    <row r="55" spans="1:6" ht="60.75" customHeight="1">
      <c r="A55" s="173" t="s">
        <v>344</v>
      </c>
      <c r="B55" s="118">
        <v>10</v>
      </c>
      <c r="C55" s="118" t="s">
        <v>345</v>
      </c>
      <c r="D55" s="174">
        <v>15000</v>
      </c>
      <c r="E55" s="176">
        <v>15000</v>
      </c>
      <c r="F55" s="175">
        <f>D55-E55</f>
        <v>0</v>
      </c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64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84">
      <selection activeCell="A88" sqref="A88:IV88"/>
    </sheetView>
  </sheetViews>
  <sheetFormatPr defaultColWidth="9.00390625" defaultRowHeight="12.75"/>
  <cols>
    <col min="1" max="1" width="60.375" style="77" customWidth="1"/>
    <col min="2" max="2" width="35.625" style="78" customWidth="1"/>
    <col min="3" max="3" width="30.00390625" style="12" customWidth="1"/>
    <col min="4" max="4" width="31.00390625" style="12" customWidth="1"/>
    <col min="5" max="5" width="30.625" style="12" customWidth="1"/>
    <col min="6" max="16384" width="9.125" style="12" customWidth="1"/>
  </cols>
  <sheetData>
    <row r="1" spans="1:6" s="9" customFormat="1" ht="15.75" thickBot="1">
      <c r="A1" s="77"/>
      <c r="B1" s="78"/>
      <c r="C1" s="12"/>
      <c r="D1" s="79"/>
      <c r="E1" s="80"/>
      <c r="F1" s="81"/>
    </row>
    <row r="2" spans="1:5" s="9" customFormat="1" ht="34.5" customHeight="1">
      <c r="A2" s="132" t="s">
        <v>78</v>
      </c>
      <c r="B2" s="133" t="s">
        <v>79</v>
      </c>
      <c r="C2" s="134" t="s">
        <v>35</v>
      </c>
      <c r="D2" s="135" t="s">
        <v>264</v>
      </c>
      <c r="E2" s="136" t="s">
        <v>185</v>
      </c>
    </row>
    <row r="3" spans="1:5" s="9" customFormat="1" ht="20.25" customHeight="1">
      <c r="A3" s="137">
        <v>1</v>
      </c>
      <c r="B3" s="83">
        <v>2</v>
      </c>
      <c r="C3" s="84" t="s">
        <v>335</v>
      </c>
      <c r="D3" s="82">
        <v>4</v>
      </c>
      <c r="E3" s="138">
        <v>5</v>
      </c>
    </row>
    <row r="4" spans="1:5" s="9" customFormat="1" ht="24" customHeight="1">
      <c r="A4" s="139" t="s">
        <v>80</v>
      </c>
      <c r="B4" s="83" t="s">
        <v>149</v>
      </c>
      <c r="C4" s="85">
        <f>C5+C10+C15+C20+C39+C32</f>
        <v>16057800</v>
      </c>
      <c r="D4" s="85">
        <f>D5+D10+D15+D20+D39+D32</f>
        <v>14882734.049999999</v>
      </c>
      <c r="E4" s="140">
        <f aca="true" t="shared" si="0" ref="E4:E11">C4-D4</f>
        <v>1175065.9500000011</v>
      </c>
    </row>
    <row r="5" spans="1:5" s="9" customFormat="1" ht="47.25" customHeight="1">
      <c r="A5" s="141" t="s">
        <v>81</v>
      </c>
      <c r="B5" s="83" t="s">
        <v>148</v>
      </c>
      <c r="C5" s="85">
        <f>C6</f>
        <v>1255000</v>
      </c>
      <c r="D5" s="85">
        <f>D6</f>
        <v>1196406.8800000001</v>
      </c>
      <c r="E5" s="140">
        <f t="shared" si="0"/>
        <v>58593.11999999988</v>
      </c>
    </row>
    <row r="6" spans="1:5" s="9" customFormat="1" ht="25.5" customHeight="1">
      <c r="A6" s="139" t="s">
        <v>36</v>
      </c>
      <c r="B6" s="87" t="s">
        <v>135</v>
      </c>
      <c r="C6" s="85">
        <f>C7</f>
        <v>1255000</v>
      </c>
      <c r="D6" s="86">
        <f>D7</f>
        <v>1196406.8800000001</v>
      </c>
      <c r="E6" s="140">
        <f t="shared" si="0"/>
        <v>58593.11999999988</v>
      </c>
    </row>
    <row r="7" spans="1:5" s="9" customFormat="1" ht="23.25" customHeight="1">
      <c r="A7" s="142" t="s">
        <v>37</v>
      </c>
      <c r="B7" s="87" t="s">
        <v>135</v>
      </c>
      <c r="C7" s="88">
        <f>C8+C9</f>
        <v>1255000</v>
      </c>
      <c r="D7" s="88">
        <f>D8+D9</f>
        <v>1196406.8800000001</v>
      </c>
      <c r="E7" s="140">
        <f t="shared" si="0"/>
        <v>58593.11999999988</v>
      </c>
    </row>
    <row r="8" spans="1:5" s="9" customFormat="1" ht="22.5" customHeight="1">
      <c r="A8" s="143" t="s">
        <v>38</v>
      </c>
      <c r="B8" s="89" t="s">
        <v>134</v>
      </c>
      <c r="C8" s="90">
        <v>970000</v>
      </c>
      <c r="D8" s="91">
        <v>967445.8</v>
      </c>
      <c r="E8" s="144">
        <f t="shared" si="0"/>
        <v>2554.1999999999534</v>
      </c>
    </row>
    <row r="9" spans="1:5" s="9" customFormat="1" ht="22.5" customHeight="1">
      <c r="A9" s="143" t="s">
        <v>39</v>
      </c>
      <c r="B9" s="89" t="s">
        <v>136</v>
      </c>
      <c r="C9" s="90">
        <v>285000</v>
      </c>
      <c r="D9" s="91">
        <v>228961.08</v>
      </c>
      <c r="E9" s="144">
        <f t="shared" si="0"/>
        <v>56038.92000000001</v>
      </c>
    </row>
    <row r="10" spans="1:5" s="9" customFormat="1" ht="60" customHeight="1">
      <c r="A10" s="142" t="s">
        <v>40</v>
      </c>
      <c r="B10" s="87" t="s">
        <v>150</v>
      </c>
      <c r="C10" s="88">
        <f>C11</f>
        <v>690000</v>
      </c>
      <c r="D10" s="92">
        <f>D11</f>
        <v>513345.18</v>
      </c>
      <c r="E10" s="145">
        <f t="shared" si="0"/>
        <v>176654.82</v>
      </c>
    </row>
    <row r="11" spans="1:5" s="9" customFormat="1" ht="21" customHeight="1">
      <c r="A11" s="202" t="s">
        <v>36</v>
      </c>
      <c r="B11" s="87" t="s">
        <v>139</v>
      </c>
      <c r="C11" s="203">
        <f>C13+C14</f>
        <v>690000</v>
      </c>
      <c r="D11" s="203">
        <f>D13+D14</f>
        <v>513345.18</v>
      </c>
      <c r="E11" s="204">
        <f t="shared" si="0"/>
        <v>176654.82</v>
      </c>
    </row>
    <row r="12" spans="1:5" s="9" customFormat="1" ht="12.75" customHeight="1" hidden="1">
      <c r="A12" s="202"/>
      <c r="B12" s="87">
        <v>1037810011121</v>
      </c>
      <c r="C12" s="203"/>
      <c r="D12" s="203"/>
      <c r="E12" s="204"/>
    </row>
    <row r="13" spans="1:5" s="9" customFormat="1" ht="19.5" customHeight="1">
      <c r="A13" s="143" t="s">
        <v>38</v>
      </c>
      <c r="B13" s="89" t="s">
        <v>137</v>
      </c>
      <c r="C13" s="90">
        <v>530000</v>
      </c>
      <c r="D13" s="90">
        <v>428941</v>
      </c>
      <c r="E13" s="146">
        <f aca="true" t="shared" si="1" ref="E13:E58">C13-D13</f>
        <v>101059</v>
      </c>
    </row>
    <row r="14" spans="1:5" s="9" customFormat="1" ht="21" customHeight="1">
      <c r="A14" s="143" t="s">
        <v>39</v>
      </c>
      <c r="B14" s="89" t="s">
        <v>138</v>
      </c>
      <c r="C14" s="90">
        <v>160000</v>
      </c>
      <c r="D14" s="90">
        <v>84404.18</v>
      </c>
      <c r="E14" s="146">
        <f t="shared" si="1"/>
        <v>75595.82</v>
      </c>
    </row>
    <row r="15" spans="1:5" s="9" customFormat="1" ht="75.75" customHeight="1">
      <c r="A15" s="142" t="s">
        <v>41</v>
      </c>
      <c r="B15" s="87" t="s">
        <v>147</v>
      </c>
      <c r="C15" s="88">
        <f>C16</f>
        <v>1085000</v>
      </c>
      <c r="D15" s="92">
        <f>D16</f>
        <v>946960.14</v>
      </c>
      <c r="E15" s="145">
        <f t="shared" si="1"/>
        <v>138039.86</v>
      </c>
    </row>
    <row r="16" spans="1:5" s="9" customFormat="1" ht="46.5" customHeight="1">
      <c r="A16" s="142" t="s">
        <v>76</v>
      </c>
      <c r="B16" s="87" t="s">
        <v>140</v>
      </c>
      <c r="C16" s="88">
        <f>C17</f>
        <v>1085000</v>
      </c>
      <c r="D16" s="92">
        <f>D17</f>
        <v>946960.14</v>
      </c>
      <c r="E16" s="145">
        <f t="shared" si="1"/>
        <v>138039.86</v>
      </c>
    </row>
    <row r="17" spans="1:5" s="9" customFormat="1" ht="22.5" customHeight="1">
      <c r="A17" s="142" t="s">
        <v>36</v>
      </c>
      <c r="B17" s="87" t="s">
        <v>140</v>
      </c>
      <c r="C17" s="88">
        <f>C18+C19</f>
        <v>1085000</v>
      </c>
      <c r="D17" s="88">
        <f>D18+D19</f>
        <v>946960.14</v>
      </c>
      <c r="E17" s="145">
        <f t="shared" si="1"/>
        <v>138039.86</v>
      </c>
    </row>
    <row r="18" spans="1:5" s="9" customFormat="1" ht="20.25" customHeight="1">
      <c r="A18" s="143" t="s">
        <v>38</v>
      </c>
      <c r="B18" s="89" t="s">
        <v>141</v>
      </c>
      <c r="C18" s="90">
        <v>835000</v>
      </c>
      <c r="D18" s="90">
        <v>788922.43</v>
      </c>
      <c r="E18" s="146">
        <f t="shared" si="1"/>
        <v>46077.56999999995</v>
      </c>
    </row>
    <row r="19" spans="1:5" s="9" customFormat="1" ht="20.25" customHeight="1">
      <c r="A19" s="143" t="s">
        <v>39</v>
      </c>
      <c r="B19" s="89" t="s">
        <v>142</v>
      </c>
      <c r="C19" s="90">
        <v>250000</v>
      </c>
      <c r="D19" s="90">
        <v>158037.71</v>
      </c>
      <c r="E19" s="146">
        <f t="shared" si="1"/>
        <v>91962.29000000001</v>
      </c>
    </row>
    <row r="20" spans="1:5" s="9" customFormat="1" ht="21" customHeight="1">
      <c r="A20" s="142" t="s">
        <v>42</v>
      </c>
      <c r="B20" s="87" t="s">
        <v>179</v>
      </c>
      <c r="C20" s="88">
        <f>C21+C24+C27</f>
        <v>12110000</v>
      </c>
      <c r="D20" s="92">
        <f>D24+D21+D27</f>
        <v>11434126.32</v>
      </c>
      <c r="E20" s="145">
        <f t="shared" si="1"/>
        <v>675873.6799999997</v>
      </c>
    </row>
    <row r="21" spans="1:5" s="9" customFormat="1" ht="19.5" customHeight="1">
      <c r="A21" s="142" t="s">
        <v>36</v>
      </c>
      <c r="B21" s="87" t="s">
        <v>179</v>
      </c>
      <c r="C21" s="88">
        <f>C22+C23</f>
        <v>9630000</v>
      </c>
      <c r="D21" s="88">
        <f>D22+D23</f>
        <v>9102338.89</v>
      </c>
      <c r="E21" s="145">
        <f t="shared" si="1"/>
        <v>527661.1099999994</v>
      </c>
    </row>
    <row r="22" spans="1:5" s="9" customFormat="1" ht="19.5" customHeight="1">
      <c r="A22" s="143" t="s">
        <v>38</v>
      </c>
      <c r="B22" s="89" t="s">
        <v>180</v>
      </c>
      <c r="C22" s="90">
        <v>7400000</v>
      </c>
      <c r="D22" s="90">
        <v>7394665.49</v>
      </c>
      <c r="E22" s="146">
        <f t="shared" si="1"/>
        <v>5334.5099999997765</v>
      </c>
    </row>
    <row r="23" spans="1:5" s="9" customFormat="1" ht="21" customHeight="1">
      <c r="A23" s="143" t="s">
        <v>39</v>
      </c>
      <c r="B23" s="89" t="s">
        <v>181</v>
      </c>
      <c r="C23" s="90">
        <v>2230000</v>
      </c>
      <c r="D23" s="90">
        <v>1707673.4</v>
      </c>
      <c r="E23" s="146">
        <f t="shared" si="1"/>
        <v>522326.6000000001</v>
      </c>
    </row>
    <row r="24" spans="1:5" s="9" customFormat="1" ht="32.25" customHeight="1">
      <c r="A24" s="142" t="s">
        <v>121</v>
      </c>
      <c r="B24" s="87" t="s">
        <v>143</v>
      </c>
      <c r="C24" s="88">
        <f>C25</f>
        <v>2270000</v>
      </c>
      <c r="D24" s="92">
        <f>D25</f>
        <v>2259557.43</v>
      </c>
      <c r="E24" s="145">
        <f t="shared" si="1"/>
        <v>10442.569999999832</v>
      </c>
    </row>
    <row r="25" spans="1:5" s="96" customFormat="1" ht="33.75" customHeight="1">
      <c r="A25" s="147" t="s">
        <v>122</v>
      </c>
      <c r="B25" s="93" t="s">
        <v>144</v>
      </c>
      <c r="C25" s="94">
        <f>C26</f>
        <v>2270000</v>
      </c>
      <c r="D25" s="95">
        <f>D26</f>
        <v>2259557.43</v>
      </c>
      <c r="E25" s="148">
        <f t="shared" si="1"/>
        <v>10442.569999999832</v>
      </c>
    </row>
    <row r="26" spans="1:5" ht="30" customHeight="1">
      <c r="A26" s="143" t="s">
        <v>123</v>
      </c>
      <c r="B26" s="89" t="s">
        <v>145</v>
      </c>
      <c r="C26" s="90">
        <v>2270000</v>
      </c>
      <c r="D26" s="91">
        <v>2259557.43</v>
      </c>
      <c r="E26" s="146">
        <f t="shared" si="1"/>
        <v>10442.569999999832</v>
      </c>
    </row>
    <row r="27" spans="1:5" s="9" customFormat="1" ht="21.75" customHeight="1">
      <c r="A27" s="142" t="s">
        <v>124</v>
      </c>
      <c r="B27" s="87" t="s">
        <v>146</v>
      </c>
      <c r="C27" s="88">
        <f>C28</f>
        <v>210000</v>
      </c>
      <c r="D27" s="88">
        <f>D28</f>
        <v>72230</v>
      </c>
      <c r="E27" s="145">
        <f t="shared" si="1"/>
        <v>137770</v>
      </c>
    </row>
    <row r="28" spans="1:5" s="96" customFormat="1" ht="21" customHeight="1">
      <c r="A28" s="147" t="s">
        <v>125</v>
      </c>
      <c r="B28" s="93" t="s">
        <v>151</v>
      </c>
      <c r="C28" s="94">
        <f>C29+C30+C31</f>
        <v>210000</v>
      </c>
      <c r="D28" s="94">
        <f>D29+D30+D31</f>
        <v>72230</v>
      </c>
      <c r="E28" s="148">
        <f t="shared" si="1"/>
        <v>137770</v>
      </c>
    </row>
    <row r="29" spans="1:5" s="9" customFormat="1" ht="21.75" customHeight="1">
      <c r="A29" s="143" t="s">
        <v>43</v>
      </c>
      <c r="B29" s="89" t="s">
        <v>152</v>
      </c>
      <c r="C29" s="90">
        <v>69000</v>
      </c>
      <c r="D29" s="90">
        <v>58595</v>
      </c>
      <c r="E29" s="146">
        <f t="shared" si="1"/>
        <v>10405</v>
      </c>
    </row>
    <row r="30" spans="1:5" s="9" customFormat="1" ht="20.25" customHeight="1">
      <c r="A30" s="143" t="s">
        <v>44</v>
      </c>
      <c r="B30" s="89" t="s">
        <v>153</v>
      </c>
      <c r="C30" s="90">
        <v>21000</v>
      </c>
      <c r="D30" s="90">
        <v>1835</v>
      </c>
      <c r="E30" s="146">
        <f t="shared" si="1"/>
        <v>19165</v>
      </c>
    </row>
    <row r="31" spans="1:5" s="9" customFormat="1" ht="21.75" customHeight="1">
      <c r="A31" s="149" t="s">
        <v>347</v>
      </c>
      <c r="B31" s="89" t="s">
        <v>187</v>
      </c>
      <c r="C31" s="90">
        <v>120000</v>
      </c>
      <c r="D31" s="90">
        <v>11800</v>
      </c>
      <c r="E31" s="146">
        <f t="shared" si="1"/>
        <v>108200</v>
      </c>
    </row>
    <row r="32" spans="1:5" s="9" customFormat="1" ht="48.75" customHeight="1">
      <c r="A32" s="150" t="s">
        <v>223</v>
      </c>
      <c r="B32" s="87" t="s">
        <v>224</v>
      </c>
      <c r="C32" s="88">
        <f>C33+C36</f>
        <v>847000</v>
      </c>
      <c r="D32" s="88">
        <f>D33+D36</f>
        <v>791895.53</v>
      </c>
      <c r="E32" s="145">
        <f t="shared" si="1"/>
        <v>55104.46999999997</v>
      </c>
    </row>
    <row r="33" spans="1:5" s="9" customFormat="1" ht="20.25" customHeight="1">
      <c r="A33" s="151" t="s">
        <v>36</v>
      </c>
      <c r="B33" s="93" t="s">
        <v>225</v>
      </c>
      <c r="C33" s="94">
        <f>C34+C35</f>
        <v>841000</v>
      </c>
      <c r="D33" s="94">
        <f>D34+D35</f>
        <v>791895.53</v>
      </c>
      <c r="E33" s="148">
        <f t="shared" si="1"/>
        <v>49104.46999999997</v>
      </c>
    </row>
    <row r="34" spans="1:5" s="9" customFormat="1" ht="20.25" customHeight="1">
      <c r="A34" s="149" t="s">
        <v>38</v>
      </c>
      <c r="B34" s="89" t="s">
        <v>226</v>
      </c>
      <c r="C34" s="90">
        <v>646000</v>
      </c>
      <c r="D34" s="90">
        <v>644478.81</v>
      </c>
      <c r="E34" s="146">
        <f t="shared" si="1"/>
        <v>1521.1899999999441</v>
      </c>
    </row>
    <row r="35" spans="1:5" s="9" customFormat="1" ht="22.5" customHeight="1">
      <c r="A35" s="149" t="s">
        <v>39</v>
      </c>
      <c r="B35" s="89" t="s">
        <v>227</v>
      </c>
      <c r="C35" s="90">
        <v>195000</v>
      </c>
      <c r="D35" s="90">
        <v>147416.72</v>
      </c>
      <c r="E35" s="146">
        <f t="shared" si="1"/>
        <v>47583.28</v>
      </c>
    </row>
    <row r="36" spans="1:5" s="9" customFormat="1" ht="33" customHeight="1">
      <c r="A36" s="142" t="s">
        <v>121</v>
      </c>
      <c r="B36" s="87" t="s">
        <v>228</v>
      </c>
      <c r="C36" s="88">
        <f>C37</f>
        <v>6000</v>
      </c>
      <c r="D36" s="88">
        <f>D37</f>
        <v>0</v>
      </c>
      <c r="E36" s="145">
        <f t="shared" si="1"/>
        <v>6000</v>
      </c>
    </row>
    <row r="37" spans="1:5" s="9" customFormat="1" ht="32.25" customHeight="1">
      <c r="A37" s="147" t="s">
        <v>122</v>
      </c>
      <c r="B37" s="93" t="s">
        <v>229</v>
      </c>
      <c r="C37" s="94">
        <f>C38</f>
        <v>6000</v>
      </c>
      <c r="D37" s="94">
        <f>D38</f>
        <v>0</v>
      </c>
      <c r="E37" s="148">
        <f t="shared" si="1"/>
        <v>6000</v>
      </c>
    </row>
    <row r="38" spans="1:5" s="9" customFormat="1" ht="32.25" customHeight="1">
      <c r="A38" s="143" t="s">
        <v>123</v>
      </c>
      <c r="B38" s="89" t="s">
        <v>230</v>
      </c>
      <c r="C38" s="90">
        <v>6000</v>
      </c>
      <c r="D38" s="90">
        <v>0</v>
      </c>
      <c r="E38" s="146">
        <f t="shared" si="1"/>
        <v>6000</v>
      </c>
    </row>
    <row r="39" spans="1:5" s="9" customFormat="1" ht="21" customHeight="1">
      <c r="A39" s="142" t="s">
        <v>45</v>
      </c>
      <c r="B39" s="87" t="s">
        <v>268</v>
      </c>
      <c r="C39" s="88">
        <f>C40</f>
        <v>70800</v>
      </c>
      <c r="D39" s="92">
        <v>0</v>
      </c>
      <c r="E39" s="145">
        <f t="shared" si="1"/>
        <v>70800</v>
      </c>
    </row>
    <row r="40" spans="1:7" ht="21.75" customHeight="1">
      <c r="A40" s="143" t="s">
        <v>86</v>
      </c>
      <c r="B40" s="89" t="s">
        <v>267</v>
      </c>
      <c r="C40" s="90">
        <v>70800</v>
      </c>
      <c r="D40" s="91">
        <v>0</v>
      </c>
      <c r="E40" s="146">
        <f t="shared" si="1"/>
        <v>70800</v>
      </c>
      <c r="G40" s="12" t="s">
        <v>220</v>
      </c>
    </row>
    <row r="41" spans="1:5" s="9" customFormat="1" ht="21.75" customHeight="1">
      <c r="A41" s="142" t="s">
        <v>250</v>
      </c>
      <c r="B41" s="87" t="s">
        <v>251</v>
      </c>
      <c r="C41" s="88">
        <f>C46+C42</f>
        <v>2590000</v>
      </c>
      <c r="D41" s="88">
        <f>D46+D42</f>
        <v>1881924</v>
      </c>
      <c r="E41" s="145">
        <f t="shared" si="1"/>
        <v>708076</v>
      </c>
    </row>
    <row r="42" spans="1:5" s="9" customFormat="1" ht="21.75" customHeight="1">
      <c r="A42" s="142" t="s">
        <v>352</v>
      </c>
      <c r="B42" s="87" t="s">
        <v>353</v>
      </c>
      <c r="C42" s="88">
        <f aca="true" t="shared" si="2" ref="C42:D44">C43</f>
        <v>15000</v>
      </c>
      <c r="D42" s="88">
        <f t="shared" si="2"/>
        <v>0</v>
      </c>
      <c r="E42" s="145">
        <f t="shared" si="1"/>
        <v>15000</v>
      </c>
    </row>
    <row r="43" spans="1:5" s="9" customFormat="1" ht="30.75" customHeight="1">
      <c r="A43" s="142" t="s">
        <v>354</v>
      </c>
      <c r="B43" s="87" t="s">
        <v>355</v>
      </c>
      <c r="C43" s="88">
        <f t="shared" si="2"/>
        <v>15000</v>
      </c>
      <c r="D43" s="88">
        <f t="shared" si="2"/>
        <v>0</v>
      </c>
      <c r="E43" s="145">
        <f t="shared" si="1"/>
        <v>15000</v>
      </c>
    </row>
    <row r="44" spans="1:5" s="9" customFormat="1" ht="30" customHeight="1">
      <c r="A44" s="147" t="s">
        <v>122</v>
      </c>
      <c r="B44" s="93" t="s">
        <v>356</v>
      </c>
      <c r="C44" s="88">
        <f t="shared" si="2"/>
        <v>15000</v>
      </c>
      <c r="D44" s="88">
        <f t="shared" si="2"/>
        <v>0</v>
      </c>
      <c r="E44" s="145">
        <f t="shared" si="1"/>
        <v>15000</v>
      </c>
    </row>
    <row r="45" spans="1:5" s="9" customFormat="1" ht="34.5" customHeight="1">
      <c r="A45" s="143" t="s">
        <v>123</v>
      </c>
      <c r="B45" s="89" t="s">
        <v>357</v>
      </c>
      <c r="C45" s="90">
        <v>15000</v>
      </c>
      <c r="D45" s="91">
        <v>0</v>
      </c>
      <c r="E45" s="146">
        <f t="shared" si="1"/>
        <v>15000</v>
      </c>
    </row>
    <row r="46" spans="1:5" s="9" customFormat="1" ht="31.5" customHeight="1">
      <c r="A46" s="142" t="s">
        <v>252</v>
      </c>
      <c r="B46" s="87" t="s">
        <v>253</v>
      </c>
      <c r="C46" s="88">
        <f aca="true" t="shared" si="3" ref="C46:D48">C47</f>
        <v>2575000</v>
      </c>
      <c r="D46" s="92">
        <f t="shared" si="3"/>
        <v>1881924</v>
      </c>
      <c r="E46" s="145">
        <f t="shared" si="1"/>
        <v>693076</v>
      </c>
    </row>
    <row r="47" spans="1:5" ht="31.5" customHeight="1">
      <c r="A47" s="142" t="s">
        <v>121</v>
      </c>
      <c r="B47" s="89" t="s">
        <v>254</v>
      </c>
      <c r="C47" s="90">
        <v>2575000</v>
      </c>
      <c r="D47" s="91">
        <f>D48</f>
        <v>1881924</v>
      </c>
      <c r="E47" s="146">
        <f t="shared" si="1"/>
        <v>693076</v>
      </c>
    </row>
    <row r="48" spans="1:5" s="96" customFormat="1" ht="31.5" customHeight="1">
      <c r="A48" s="147" t="s">
        <v>122</v>
      </c>
      <c r="B48" s="93" t="s">
        <v>254</v>
      </c>
      <c r="C48" s="94">
        <f t="shared" si="3"/>
        <v>2575000</v>
      </c>
      <c r="D48" s="95">
        <f t="shared" si="3"/>
        <v>1881924</v>
      </c>
      <c r="E48" s="148">
        <f t="shared" si="1"/>
        <v>693076</v>
      </c>
    </row>
    <row r="49" spans="1:5" ht="29.25" customHeight="1">
      <c r="A49" s="143" t="s">
        <v>123</v>
      </c>
      <c r="B49" s="89" t="s">
        <v>255</v>
      </c>
      <c r="C49" s="90">
        <v>2575000</v>
      </c>
      <c r="D49" s="91">
        <v>1881924</v>
      </c>
      <c r="E49" s="146">
        <f t="shared" si="1"/>
        <v>693076</v>
      </c>
    </row>
    <row r="50" spans="1:5" s="9" customFormat="1" ht="21.75" customHeight="1">
      <c r="A50" s="142" t="s">
        <v>189</v>
      </c>
      <c r="B50" s="87" t="s">
        <v>276</v>
      </c>
      <c r="C50" s="88">
        <f>C51</f>
        <v>71074000</v>
      </c>
      <c r="D50" s="88">
        <f>D51</f>
        <v>59670766.730000004</v>
      </c>
      <c r="E50" s="145">
        <f t="shared" si="1"/>
        <v>11403233.269999996</v>
      </c>
    </row>
    <row r="51" spans="1:5" s="9" customFormat="1" ht="20.25" customHeight="1">
      <c r="A51" s="142" t="s">
        <v>275</v>
      </c>
      <c r="B51" s="87" t="s">
        <v>188</v>
      </c>
      <c r="C51" s="88">
        <f>C52</f>
        <v>71074000</v>
      </c>
      <c r="D51" s="88">
        <f>D52</f>
        <v>59670766.730000004</v>
      </c>
      <c r="E51" s="145">
        <f t="shared" si="1"/>
        <v>11403233.269999996</v>
      </c>
    </row>
    <row r="52" spans="1:5" s="9" customFormat="1" ht="30" customHeight="1">
      <c r="A52" s="152" t="s">
        <v>273</v>
      </c>
      <c r="B52" s="93" t="s">
        <v>278</v>
      </c>
      <c r="C52" s="88">
        <f>C53+C63</f>
        <v>71074000</v>
      </c>
      <c r="D52" s="88">
        <f>D53+D63</f>
        <v>59670766.730000004</v>
      </c>
      <c r="E52" s="145">
        <f t="shared" si="1"/>
        <v>11403233.269999996</v>
      </c>
    </row>
    <row r="53" spans="1:5" s="9" customFormat="1" ht="22.5" customHeight="1">
      <c r="A53" s="153" t="s">
        <v>274</v>
      </c>
      <c r="B53" s="87" t="s">
        <v>277</v>
      </c>
      <c r="C53" s="88">
        <f>C54+C57</f>
        <v>17400000</v>
      </c>
      <c r="D53" s="88">
        <f>D54+D57</f>
        <v>17396808.6</v>
      </c>
      <c r="E53" s="145">
        <f t="shared" si="1"/>
        <v>3191.39999999851</v>
      </c>
    </row>
    <row r="54" spans="1:5" s="9" customFormat="1" ht="45" customHeight="1">
      <c r="A54" s="142" t="s">
        <v>279</v>
      </c>
      <c r="B54" s="87" t="s">
        <v>280</v>
      </c>
      <c r="C54" s="88">
        <f>C55+C56</f>
        <v>17350000</v>
      </c>
      <c r="D54" s="88">
        <f>D55+D56</f>
        <v>17349999.17</v>
      </c>
      <c r="E54" s="145">
        <f t="shared" si="1"/>
        <v>0.8299999982118607</v>
      </c>
    </row>
    <row r="55" spans="1:5" s="9" customFormat="1" ht="22.5" customHeight="1">
      <c r="A55" s="143" t="s">
        <v>281</v>
      </c>
      <c r="B55" s="89" t="s">
        <v>282</v>
      </c>
      <c r="C55" s="90">
        <v>17350000</v>
      </c>
      <c r="D55" s="91">
        <v>17349999.17</v>
      </c>
      <c r="E55" s="146">
        <f t="shared" si="1"/>
        <v>0.8299999982118607</v>
      </c>
    </row>
    <row r="56" spans="1:5" s="9" customFormat="1" ht="23.25" customHeight="1">
      <c r="A56" s="143" t="s">
        <v>284</v>
      </c>
      <c r="B56" s="89" t="s">
        <v>283</v>
      </c>
      <c r="C56" s="90">
        <v>0</v>
      </c>
      <c r="D56" s="91">
        <v>0</v>
      </c>
      <c r="E56" s="146">
        <f t="shared" si="1"/>
        <v>0</v>
      </c>
    </row>
    <row r="57" spans="1:5" s="9" customFormat="1" ht="24.75" customHeight="1">
      <c r="A57" s="142" t="s">
        <v>126</v>
      </c>
      <c r="B57" s="87" t="s">
        <v>234</v>
      </c>
      <c r="C57" s="88">
        <f>C58</f>
        <v>50000</v>
      </c>
      <c r="D57" s="92">
        <f>D58</f>
        <v>46809.43</v>
      </c>
      <c r="E57" s="145">
        <f t="shared" si="1"/>
        <v>3190.5699999999997</v>
      </c>
    </row>
    <row r="58" spans="1:5" s="96" customFormat="1" ht="57.75" customHeight="1">
      <c r="A58" s="205" t="s">
        <v>328</v>
      </c>
      <c r="B58" s="206" t="s">
        <v>256</v>
      </c>
      <c r="C58" s="207">
        <v>50000</v>
      </c>
      <c r="D58" s="207">
        <v>46809.43</v>
      </c>
      <c r="E58" s="208">
        <f t="shared" si="1"/>
        <v>3190.5699999999997</v>
      </c>
    </row>
    <row r="59" spans="1:5" s="9" customFormat="1" ht="12.75" customHeight="1" hidden="1">
      <c r="A59" s="205"/>
      <c r="B59" s="206"/>
      <c r="C59" s="207"/>
      <c r="D59" s="207"/>
      <c r="E59" s="208"/>
    </row>
    <row r="60" spans="1:5" s="9" customFormat="1" ht="12.75" customHeight="1" hidden="1">
      <c r="A60" s="205"/>
      <c r="B60" s="206"/>
      <c r="C60" s="207"/>
      <c r="D60" s="207"/>
      <c r="E60" s="208"/>
    </row>
    <row r="61" spans="1:5" s="9" customFormat="1" ht="12.75" customHeight="1" hidden="1">
      <c r="A61" s="205"/>
      <c r="B61" s="206"/>
      <c r="C61" s="207"/>
      <c r="D61" s="207"/>
      <c r="E61" s="208"/>
    </row>
    <row r="62" spans="1:5" s="9" customFormat="1" ht="12.75" customHeight="1" hidden="1">
      <c r="A62" s="205"/>
      <c r="B62" s="206"/>
      <c r="C62" s="207"/>
      <c r="D62" s="207"/>
      <c r="E62" s="208"/>
    </row>
    <row r="63" spans="1:5" s="9" customFormat="1" ht="30.75" customHeight="1">
      <c r="A63" s="142" t="s">
        <v>121</v>
      </c>
      <c r="B63" s="87" t="s">
        <v>233</v>
      </c>
      <c r="C63" s="88">
        <f>C64</f>
        <v>53674000</v>
      </c>
      <c r="D63" s="88">
        <f>D64</f>
        <v>42273958.13</v>
      </c>
      <c r="E63" s="145">
        <f aca="true" t="shared" si="4" ref="E63:E79">C63-D63</f>
        <v>11400041.869999997</v>
      </c>
    </row>
    <row r="64" spans="1:5" s="96" customFormat="1" ht="34.5" customHeight="1">
      <c r="A64" s="147" t="s">
        <v>122</v>
      </c>
      <c r="B64" s="93" t="s">
        <v>232</v>
      </c>
      <c r="C64" s="94">
        <f>C65+C69</f>
        <v>53674000</v>
      </c>
      <c r="D64" s="94">
        <f>D65+D69</f>
        <v>42273958.13</v>
      </c>
      <c r="E64" s="145">
        <f t="shared" si="4"/>
        <v>11400041.869999997</v>
      </c>
    </row>
    <row r="65" spans="1:5" s="9" customFormat="1" ht="31.5" customHeight="1">
      <c r="A65" s="143" t="s">
        <v>123</v>
      </c>
      <c r="B65" s="89" t="s">
        <v>231</v>
      </c>
      <c r="C65" s="90">
        <v>47169000</v>
      </c>
      <c r="D65" s="90">
        <v>36954627.38</v>
      </c>
      <c r="E65" s="146">
        <f t="shared" si="4"/>
        <v>10214372.619999997</v>
      </c>
    </row>
    <row r="66" spans="1:5" s="9" customFormat="1" ht="21" customHeight="1" hidden="1">
      <c r="A66" s="142" t="s">
        <v>199</v>
      </c>
      <c r="B66" s="87" t="s">
        <v>203</v>
      </c>
      <c r="C66" s="88">
        <f>C67</f>
        <v>0</v>
      </c>
      <c r="D66" s="88">
        <f>D67</f>
        <v>0</v>
      </c>
      <c r="E66" s="146">
        <f t="shared" si="4"/>
        <v>0</v>
      </c>
    </row>
    <row r="67" spans="1:5" s="9" customFormat="1" ht="19.5" customHeight="1" hidden="1">
      <c r="A67" s="142" t="s">
        <v>200</v>
      </c>
      <c r="B67" s="87" t="s">
        <v>202</v>
      </c>
      <c r="C67" s="88">
        <f>C68</f>
        <v>0</v>
      </c>
      <c r="D67" s="88">
        <f>D68</f>
        <v>0</v>
      </c>
      <c r="E67" s="146">
        <f t="shared" si="4"/>
        <v>0</v>
      </c>
    </row>
    <row r="68" spans="1:5" s="9" customFormat="1" ht="27.75" customHeight="1" hidden="1">
      <c r="A68" s="143" t="s">
        <v>201</v>
      </c>
      <c r="B68" s="89" t="s">
        <v>204</v>
      </c>
      <c r="C68" s="90">
        <v>0</v>
      </c>
      <c r="D68" s="90">
        <v>0</v>
      </c>
      <c r="E68" s="146">
        <f t="shared" si="4"/>
        <v>0</v>
      </c>
    </row>
    <row r="69" spans="1:5" s="9" customFormat="1" ht="20.25" customHeight="1">
      <c r="A69" s="154" t="s">
        <v>272</v>
      </c>
      <c r="B69" s="89" t="s">
        <v>265</v>
      </c>
      <c r="C69" s="90">
        <v>6505000</v>
      </c>
      <c r="D69" s="90">
        <v>5319330.75</v>
      </c>
      <c r="E69" s="146">
        <f t="shared" si="4"/>
        <v>1185669.25</v>
      </c>
    </row>
    <row r="70" spans="1:5" s="9" customFormat="1" ht="25.5" customHeight="1">
      <c r="A70" s="142" t="s">
        <v>199</v>
      </c>
      <c r="B70" s="87" t="s">
        <v>203</v>
      </c>
      <c r="C70" s="88">
        <f>C71+C73+C75</f>
        <v>215000</v>
      </c>
      <c r="D70" s="88">
        <f>D71+D73+D75</f>
        <v>215000</v>
      </c>
      <c r="E70" s="145">
        <f t="shared" si="4"/>
        <v>0</v>
      </c>
    </row>
    <row r="71" spans="1:5" s="9" customFormat="1" ht="21" customHeight="1">
      <c r="A71" s="142" t="s">
        <v>269</v>
      </c>
      <c r="B71" s="87" t="s">
        <v>270</v>
      </c>
      <c r="C71" s="88">
        <f>C72</f>
        <v>30000</v>
      </c>
      <c r="D71" s="88">
        <f>D72</f>
        <v>30000</v>
      </c>
      <c r="E71" s="145">
        <f t="shared" si="4"/>
        <v>0</v>
      </c>
    </row>
    <row r="72" spans="1:5" s="9" customFormat="1" ht="30.75" customHeight="1">
      <c r="A72" s="143" t="s">
        <v>201</v>
      </c>
      <c r="B72" s="89" t="s">
        <v>271</v>
      </c>
      <c r="C72" s="90">
        <v>30000</v>
      </c>
      <c r="D72" s="90">
        <v>30000</v>
      </c>
      <c r="E72" s="146">
        <f t="shared" si="4"/>
        <v>0</v>
      </c>
    </row>
    <row r="73" spans="1:5" s="9" customFormat="1" ht="27" customHeight="1">
      <c r="A73" s="142" t="s">
        <v>200</v>
      </c>
      <c r="B73" s="87" t="s">
        <v>202</v>
      </c>
      <c r="C73" s="88">
        <f>C74</f>
        <v>105000</v>
      </c>
      <c r="D73" s="88">
        <f>D74</f>
        <v>105000</v>
      </c>
      <c r="E73" s="145">
        <f>C73-D73</f>
        <v>0</v>
      </c>
    </row>
    <row r="74" spans="1:5" s="9" customFormat="1" ht="30.75" customHeight="1">
      <c r="A74" s="143" t="s">
        <v>201</v>
      </c>
      <c r="B74" s="89" t="s">
        <v>329</v>
      </c>
      <c r="C74" s="90">
        <v>105000</v>
      </c>
      <c r="D74" s="90">
        <v>105000</v>
      </c>
      <c r="E74" s="146">
        <f>C74-D74</f>
        <v>0</v>
      </c>
    </row>
    <row r="75" spans="1:5" s="9" customFormat="1" ht="30.75" customHeight="1">
      <c r="A75" s="142" t="s">
        <v>330</v>
      </c>
      <c r="B75" s="87" t="s">
        <v>331</v>
      </c>
      <c r="C75" s="88">
        <f>C76</f>
        <v>80000</v>
      </c>
      <c r="D75" s="88">
        <f>D76</f>
        <v>80000</v>
      </c>
      <c r="E75" s="145">
        <f>C75-D75</f>
        <v>0</v>
      </c>
    </row>
    <row r="76" spans="1:5" s="9" customFormat="1" ht="30.75" customHeight="1">
      <c r="A76" s="143" t="s">
        <v>201</v>
      </c>
      <c r="B76" s="89" t="s">
        <v>332</v>
      </c>
      <c r="C76" s="90">
        <v>80000</v>
      </c>
      <c r="D76" s="90">
        <v>80000</v>
      </c>
      <c r="E76" s="146">
        <f>C76-D76</f>
        <v>0</v>
      </c>
    </row>
    <row r="77" spans="1:5" s="9" customFormat="1" ht="23.25" customHeight="1">
      <c r="A77" s="142" t="s">
        <v>194</v>
      </c>
      <c r="B77" s="87" t="s">
        <v>195</v>
      </c>
      <c r="C77" s="88">
        <f>C78+C82+C81</f>
        <v>385000</v>
      </c>
      <c r="D77" s="88">
        <f>D78+D82+D81</f>
        <v>384500</v>
      </c>
      <c r="E77" s="145">
        <f t="shared" si="4"/>
        <v>500</v>
      </c>
    </row>
    <row r="78" spans="1:5" s="9" customFormat="1" ht="30.75" customHeight="1">
      <c r="A78" s="142" t="s">
        <v>193</v>
      </c>
      <c r="B78" s="87" t="s">
        <v>237</v>
      </c>
      <c r="C78" s="88">
        <f>C79</f>
        <v>0</v>
      </c>
      <c r="D78" s="88">
        <f>D79</f>
        <v>0</v>
      </c>
      <c r="E78" s="145">
        <f t="shared" si="4"/>
        <v>0</v>
      </c>
    </row>
    <row r="79" spans="1:5" s="96" customFormat="1" ht="45" customHeight="1">
      <c r="A79" s="205" t="s">
        <v>46</v>
      </c>
      <c r="B79" s="206" t="s">
        <v>257</v>
      </c>
      <c r="C79" s="207">
        <v>0</v>
      </c>
      <c r="D79" s="207">
        <v>0</v>
      </c>
      <c r="E79" s="208">
        <f t="shared" si="4"/>
        <v>0</v>
      </c>
    </row>
    <row r="80" spans="1:5" s="9" customFormat="1" ht="12.75" customHeight="1" hidden="1">
      <c r="A80" s="205"/>
      <c r="B80" s="206"/>
      <c r="C80" s="207"/>
      <c r="D80" s="207"/>
      <c r="E80" s="208"/>
    </row>
    <row r="81" spans="1:5" s="9" customFormat="1" ht="21" customHeight="1">
      <c r="A81" s="143" t="s">
        <v>222</v>
      </c>
      <c r="B81" s="89" t="s">
        <v>380</v>
      </c>
      <c r="C81" s="90">
        <v>85000</v>
      </c>
      <c r="D81" s="90">
        <v>85000</v>
      </c>
      <c r="E81" s="146">
        <f>C81-D81</f>
        <v>0</v>
      </c>
    </row>
    <row r="82" spans="1:5" s="9" customFormat="1" ht="30">
      <c r="A82" s="142" t="s">
        <v>121</v>
      </c>
      <c r="B82" s="87" t="s">
        <v>236</v>
      </c>
      <c r="C82" s="88">
        <f>C83</f>
        <v>300000</v>
      </c>
      <c r="D82" s="88">
        <f>D83</f>
        <v>299500</v>
      </c>
      <c r="E82" s="145">
        <f aca="true" t="shared" si="5" ref="E82:E88">C82-D82</f>
        <v>500</v>
      </c>
    </row>
    <row r="83" spans="1:5" s="96" customFormat="1" ht="36" customHeight="1">
      <c r="A83" s="147" t="s">
        <v>122</v>
      </c>
      <c r="B83" s="93" t="s">
        <v>235</v>
      </c>
      <c r="C83" s="94">
        <f>C84</f>
        <v>300000</v>
      </c>
      <c r="D83" s="94">
        <f>D84</f>
        <v>299500</v>
      </c>
      <c r="E83" s="145">
        <f t="shared" si="5"/>
        <v>500</v>
      </c>
    </row>
    <row r="84" spans="1:5" ht="29.25" customHeight="1">
      <c r="A84" s="143" t="s">
        <v>123</v>
      </c>
      <c r="B84" s="89" t="s">
        <v>258</v>
      </c>
      <c r="C84" s="90">
        <v>300000</v>
      </c>
      <c r="D84" s="90">
        <v>299500</v>
      </c>
      <c r="E84" s="146">
        <f t="shared" si="5"/>
        <v>500</v>
      </c>
    </row>
    <row r="85" spans="1:5" ht="23.25" customHeight="1">
      <c r="A85" s="142" t="s">
        <v>208</v>
      </c>
      <c r="B85" s="87" t="s">
        <v>210</v>
      </c>
      <c r="C85" s="88">
        <f>C86</f>
        <v>15000</v>
      </c>
      <c r="D85" s="88">
        <f>D86</f>
        <v>15000</v>
      </c>
      <c r="E85" s="145">
        <f t="shared" si="5"/>
        <v>0</v>
      </c>
    </row>
    <row r="86" spans="1:5" ht="25.5" customHeight="1">
      <c r="A86" s="142" t="s">
        <v>209</v>
      </c>
      <c r="B86" s="87" t="s">
        <v>211</v>
      </c>
      <c r="C86" s="88">
        <f>C87</f>
        <v>15000</v>
      </c>
      <c r="D86" s="88">
        <f>D87</f>
        <v>15000</v>
      </c>
      <c r="E86" s="145">
        <f t="shared" si="5"/>
        <v>0</v>
      </c>
    </row>
    <row r="87" spans="1:5" ht="30" customHeight="1">
      <c r="A87" s="143" t="s">
        <v>213</v>
      </c>
      <c r="B87" s="89" t="s">
        <v>338</v>
      </c>
      <c r="C87" s="90">
        <v>15000</v>
      </c>
      <c r="D87" s="90">
        <v>15000</v>
      </c>
      <c r="E87" s="146">
        <f t="shared" si="5"/>
        <v>0</v>
      </c>
    </row>
    <row r="88" spans="1:5" ht="24" customHeight="1">
      <c r="A88" s="142" t="s">
        <v>192</v>
      </c>
      <c r="B88" s="87" t="s">
        <v>196</v>
      </c>
      <c r="C88" s="88">
        <f>C89+C92+C95</f>
        <v>3584200</v>
      </c>
      <c r="D88" s="88">
        <f>D89+D92+D95</f>
        <v>3503377.92</v>
      </c>
      <c r="E88" s="145">
        <f t="shared" si="5"/>
        <v>80822.08000000007</v>
      </c>
    </row>
    <row r="89" spans="1:5" s="9" customFormat="1" ht="31.5" customHeight="1">
      <c r="A89" s="142" t="s">
        <v>127</v>
      </c>
      <c r="B89" s="87" t="s">
        <v>238</v>
      </c>
      <c r="C89" s="88">
        <f>C90</f>
        <v>850000</v>
      </c>
      <c r="D89" s="88">
        <f>D90</f>
        <v>814177.92</v>
      </c>
      <c r="E89" s="145">
        <f aca="true" t="shared" si="6" ref="E89:E115">C89-D89</f>
        <v>35822.07999999996</v>
      </c>
    </row>
    <row r="90" spans="1:5" s="96" customFormat="1" ht="30.75" customHeight="1">
      <c r="A90" s="147" t="s">
        <v>128</v>
      </c>
      <c r="B90" s="93" t="s">
        <v>239</v>
      </c>
      <c r="C90" s="94">
        <f>C91</f>
        <v>850000</v>
      </c>
      <c r="D90" s="94">
        <f>D91</f>
        <v>814177.92</v>
      </c>
      <c r="E90" s="148">
        <f t="shared" si="6"/>
        <v>35822.07999999996</v>
      </c>
    </row>
    <row r="91" spans="1:5" s="9" customFormat="1" ht="22.5" customHeight="1">
      <c r="A91" s="143" t="s">
        <v>47</v>
      </c>
      <c r="B91" s="89" t="s">
        <v>240</v>
      </c>
      <c r="C91" s="90">
        <v>850000</v>
      </c>
      <c r="D91" s="90">
        <v>814177.92</v>
      </c>
      <c r="E91" s="146">
        <f t="shared" si="6"/>
        <v>35822.07999999996</v>
      </c>
    </row>
    <row r="92" spans="1:5" s="9" customFormat="1" ht="24.75" customHeight="1">
      <c r="A92" s="142" t="s">
        <v>129</v>
      </c>
      <c r="B92" s="87" t="s">
        <v>241</v>
      </c>
      <c r="C92" s="88">
        <f>C94+C93</f>
        <v>237000</v>
      </c>
      <c r="D92" s="88">
        <f>D94+D93</f>
        <v>192000</v>
      </c>
      <c r="E92" s="145">
        <f t="shared" si="6"/>
        <v>45000</v>
      </c>
    </row>
    <row r="93" spans="1:5" s="9" customFormat="1" ht="25.5" customHeight="1">
      <c r="A93" s="143" t="s">
        <v>215</v>
      </c>
      <c r="B93" s="89" t="s">
        <v>242</v>
      </c>
      <c r="C93" s="90">
        <v>37000</v>
      </c>
      <c r="D93" s="90">
        <v>37000</v>
      </c>
      <c r="E93" s="146">
        <f t="shared" si="6"/>
        <v>0</v>
      </c>
    </row>
    <row r="94" spans="1:5" s="9" customFormat="1" ht="24.75" customHeight="1">
      <c r="A94" s="143" t="s">
        <v>130</v>
      </c>
      <c r="B94" s="89" t="s">
        <v>243</v>
      </c>
      <c r="C94" s="90">
        <v>200000</v>
      </c>
      <c r="D94" s="90">
        <v>155000</v>
      </c>
      <c r="E94" s="146">
        <f t="shared" si="6"/>
        <v>45000</v>
      </c>
    </row>
    <row r="95" spans="1:5" s="9" customFormat="1" ht="23.25" customHeight="1">
      <c r="A95" s="142" t="s">
        <v>129</v>
      </c>
      <c r="B95" s="87" t="s">
        <v>170</v>
      </c>
      <c r="C95" s="88">
        <f>C96+C97</f>
        <v>2497200</v>
      </c>
      <c r="D95" s="88">
        <f>D96+D97</f>
        <v>2497200</v>
      </c>
      <c r="E95" s="145">
        <f t="shared" si="6"/>
        <v>0</v>
      </c>
    </row>
    <row r="96" spans="1:5" s="9" customFormat="1" ht="29.25">
      <c r="A96" s="143" t="s">
        <v>131</v>
      </c>
      <c r="B96" s="89" t="s">
        <v>266</v>
      </c>
      <c r="C96" s="90">
        <v>2347000</v>
      </c>
      <c r="D96" s="90">
        <v>2347000</v>
      </c>
      <c r="E96" s="146">
        <f t="shared" si="6"/>
        <v>0</v>
      </c>
    </row>
    <row r="97" spans="1:5" s="9" customFormat="1" ht="21.75" customHeight="1">
      <c r="A97" s="143" t="s">
        <v>222</v>
      </c>
      <c r="B97" s="89" t="s">
        <v>348</v>
      </c>
      <c r="C97" s="90">
        <v>150200</v>
      </c>
      <c r="D97" s="90">
        <v>150200</v>
      </c>
      <c r="E97" s="146">
        <f t="shared" si="6"/>
        <v>0</v>
      </c>
    </row>
    <row r="98" spans="1:5" s="9" customFormat="1" ht="24" customHeight="1">
      <c r="A98" s="142" t="s">
        <v>190</v>
      </c>
      <c r="B98" s="87" t="s">
        <v>191</v>
      </c>
      <c r="C98" s="88">
        <f>C99+C105+C104</f>
        <v>91900</v>
      </c>
      <c r="D98" s="88">
        <f>D99+D105+D104</f>
        <v>0</v>
      </c>
      <c r="E98" s="145">
        <f t="shared" si="6"/>
        <v>91900</v>
      </c>
    </row>
    <row r="99" spans="1:5" s="9" customFormat="1" ht="33.75" customHeight="1">
      <c r="A99" s="142" t="s">
        <v>132</v>
      </c>
      <c r="B99" s="87" t="s">
        <v>244</v>
      </c>
      <c r="C99" s="88">
        <f>C100</f>
        <v>91900</v>
      </c>
      <c r="D99" s="88">
        <f>D100</f>
        <v>0</v>
      </c>
      <c r="E99" s="145">
        <f t="shared" si="6"/>
        <v>91900</v>
      </c>
    </row>
    <row r="100" spans="1:5" s="9" customFormat="1" ht="33.75" customHeight="1">
      <c r="A100" s="142" t="s">
        <v>121</v>
      </c>
      <c r="B100" s="87" t="s">
        <v>245</v>
      </c>
      <c r="C100" s="88">
        <f>C101</f>
        <v>91900</v>
      </c>
      <c r="D100" s="88">
        <f>D101</f>
        <v>0</v>
      </c>
      <c r="E100" s="145">
        <f t="shared" si="6"/>
        <v>91900</v>
      </c>
    </row>
    <row r="101" spans="1:5" s="96" customFormat="1" ht="34.5" customHeight="1">
      <c r="A101" s="147" t="s">
        <v>122</v>
      </c>
      <c r="B101" s="93" t="s">
        <v>246</v>
      </c>
      <c r="C101" s="94">
        <f>C102+C103</f>
        <v>91900</v>
      </c>
      <c r="D101" s="95">
        <f>D102+D103</f>
        <v>0</v>
      </c>
      <c r="E101" s="148">
        <f t="shared" si="6"/>
        <v>91900</v>
      </c>
    </row>
    <row r="102" spans="1:5" s="9" customFormat="1" ht="34.5" customHeight="1">
      <c r="A102" s="143" t="s">
        <v>123</v>
      </c>
      <c r="B102" s="89" t="s">
        <v>247</v>
      </c>
      <c r="C102" s="90">
        <v>91900</v>
      </c>
      <c r="D102" s="91">
        <v>0</v>
      </c>
      <c r="E102" s="146">
        <f t="shared" si="6"/>
        <v>91900</v>
      </c>
    </row>
    <row r="103" spans="1:5" s="9" customFormat="1" ht="30" customHeight="1" hidden="1">
      <c r="A103" s="143" t="s">
        <v>183</v>
      </c>
      <c r="B103" s="89" t="s">
        <v>184</v>
      </c>
      <c r="C103" s="90">
        <v>0</v>
      </c>
      <c r="D103" s="91">
        <v>0</v>
      </c>
      <c r="E103" s="146">
        <f t="shared" si="6"/>
        <v>0</v>
      </c>
    </row>
    <row r="104" spans="1:5" s="9" customFormat="1" ht="30" customHeight="1" hidden="1">
      <c r="A104" s="143" t="s">
        <v>183</v>
      </c>
      <c r="B104" s="89" t="s">
        <v>184</v>
      </c>
      <c r="C104" s="90">
        <v>0</v>
      </c>
      <c r="D104" s="91">
        <v>0</v>
      </c>
      <c r="E104" s="146">
        <f t="shared" si="6"/>
        <v>0</v>
      </c>
    </row>
    <row r="105" spans="1:5" s="96" customFormat="1" ht="47.25" customHeight="1">
      <c r="A105" s="147" t="s">
        <v>48</v>
      </c>
      <c r="B105" s="93" t="s">
        <v>259</v>
      </c>
      <c r="C105" s="94">
        <v>0</v>
      </c>
      <c r="D105" s="95">
        <v>0</v>
      </c>
      <c r="E105" s="148">
        <f t="shared" si="6"/>
        <v>0</v>
      </c>
    </row>
    <row r="106" spans="1:5" s="96" customFormat="1" ht="22.5" customHeight="1">
      <c r="A106" s="142" t="s">
        <v>349</v>
      </c>
      <c r="B106" s="87" t="s">
        <v>350</v>
      </c>
      <c r="C106" s="94">
        <f>C107+C108</f>
        <v>1768000</v>
      </c>
      <c r="D106" s="94">
        <f>D107+D108</f>
        <v>1762611.44</v>
      </c>
      <c r="E106" s="148">
        <f t="shared" si="6"/>
        <v>5388.560000000056</v>
      </c>
    </row>
    <row r="107" spans="1:5" s="96" customFormat="1" ht="22.5" customHeight="1">
      <c r="A107" s="143" t="s">
        <v>222</v>
      </c>
      <c r="B107" s="89" t="s">
        <v>351</v>
      </c>
      <c r="C107" s="90">
        <v>18000</v>
      </c>
      <c r="D107" s="91">
        <v>18000</v>
      </c>
      <c r="E107" s="148">
        <f t="shared" si="6"/>
        <v>0</v>
      </c>
    </row>
    <row r="108" spans="1:5" s="9" customFormat="1" ht="33.75" customHeight="1">
      <c r="A108" s="142" t="s">
        <v>133</v>
      </c>
      <c r="B108" s="87" t="s">
        <v>248</v>
      </c>
      <c r="C108" s="88">
        <f>C109</f>
        <v>1750000</v>
      </c>
      <c r="D108" s="92">
        <f>D109</f>
        <v>1744611.44</v>
      </c>
      <c r="E108" s="145">
        <f t="shared" si="6"/>
        <v>5388.560000000056</v>
      </c>
    </row>
    <row r="109" spans="1:5" s="9" customFormat="1" ht="47.25" customHeight="1">
      <c r="A109" s="143" t="s">
        <v>49</v>
      </c>
      <c r="B109" s="89" t="s">
        <v>260</v>
      </c>
      <c r="C109" s="90">
        <v>1750000</v>
      </c>
      <c r="D109" s="91">
        <v>1744611.44</v>
      </c>
      <c r="E109" s="146">
        <f t="shared" si="6"/>
        <v>5388.560000000056</v>
      </c>
    </row>
    <row r="110" spans="1:5" s="9" customFormat="1" ht="47.25" customHeight="1">
      <c r="A110" s="141" t="s">
        <v>358</v>
      </c>
      <c r="B110" s="87" t="s">
        <v>359</v>
      </c>
      <c r="C110" s="165">
        <f aca="true" t="shared" si="7" ref="C110:D114">C111</f>
        <v>8100</v>
      </c>
      <c r="D110" s="165">
        <f t="shared" si="7"/>
        <v>8100</v>
      </c>
      <c r="E110" s="145">
        <f t="shared" si="6"/>
        <v>0</v>
      </c>
    </row>
    <row r="111" spans="1:5" s="9" customFormat="1" ht="21" customHeight="1">
      <c r="A111" s="141" t="s">
        <v>360</v>
      </c>
      <c r="B111" s="87" t="s">
        <v>361</v>
      </c>
      <c r="C111" s="165">
        <f t="shared" si="7"/>
        <v>8100</v>
      </c>
      <c r="D111" s="165">
        <f t="shared" si="7"/>
        <v>8100</v>
      </c>
      <c r="E111" s="145">
        <f t="shared" si="6"/>
        <v>0</v>
      </c>
    </row>
    <row r="112" spans="1:5" s="9" customFormat="1" ht="30" customHeight="1">
      <c r="A112" s="152" t="s">
        <v>362</v>
      </c>
      <c r="B112" s="93" t="s">
        <v>363</v>
      </c>
      <c r="C112" s="166">
        <f t="shared" si="7"/>
        <v>8100</v>
      </c>
      <c r="D112" s="166">
        <f t="shared" si="7"/>
        <v>8100</v>
      </c>
      <c r="E112" s="148">
        <f t="shared" si="6"/>
        <v>0</v>
      </c>
    </row>
    <row r="113" spans="1:5" s="9" customFormat="1" ht="22.5" customHeight="1">
      <c r="A113" s="154" t="s">
        <v>364</v>
      </c>
      <c r="B113" s="89" t="s">
        <v>365</v>
      </c>
      <c r="C113" s="162">
        <f t="shared" si="7"/>
        <v>8100</v>
      </c>
      <c r="D113" s="162">
        <f t="shared" si="7"/>
        <v>8100</v>
      </c>
      <c r="E113" s="146">
        <f t="shared" si="6"/>
        <v>0</v>
      </c>
    </row>
    <row r="114" spans="1:5" s="9" customFormat="1" ht="30.75" customHeight="1">
      <c r="A114" s="164" t="s">
        <v>366</v>
      </c>
      <c r="B114" s="89" t="s">
        <v>367</v>
      </c>
      <c r="C114" s="162">
        <f t="shared" si="7"/>
        <v>8100</v>
      </c>
      <c r="D114" s="162">
        <f t="shared" si="7"/>
        <v>8100</v>
      </c>
      <c r="E114" s="146">
        <f t="shared" si="6"/>
        <v>0</v>
      </c>
    </row>
    <row r="115" spans="1:5" s="9" customFormat="1" ht="24.75" customHeight="1">
      <c r="A115" s="154" t="s">
        <v>340</v>
      </c>
      <c r="B115" s="89" t="s">
        <v>368</v>
      </c>
      <c r="C115" s="162">
        <v>8100</v>
      </c>
      <c r="D115" s="163">
        <v>8100</v>
      </c>
      <c r="E115" s="146">
        <f t="shared" si="6"/>
        <v>0</v>
      </c>
    </row>
    <row r="116" spans="1:5" s="9" customFormat="1" ht="27" customHeight="1" thickBot="1">
      <c r="A116" s="155" t="s">
        <v>50</v>
      </c>
      <c r="B116" s="156"/>
      <c r="C116" s="157">
        <f>C106+C98+C88+C77+C50+C4+C41+C70+C85+C110</f>
        <v>95789000</v>
      </c>
      <c r="D116" s="157">
        <f>D106+D98+D88+D77+D50+D4+D41+D70+D85+D110</f>
        <v>82324014.14</v>
      </c>
      <c r="E116" s="158">
        <f>C116-D116</f>
        <v>13464985.86</v>
      </c>
    </row>
  </sheetData>
  <sheetProtection/>
  <mergeCells count="14">
    <mergeCell ref="A79:A80"/>
    <mergeCell ref="B79:B80"/>
    <mergeCell ref="C79:C80"/>
    <mergeCell ref="D79:D80"/>
    <mergeCell ref="E79:E80"/>
    <mergeCell ref="A11:A12"/>
    <mergeCell ref="C11:C12"/>
    <mergeCell ref="D11:D12"/>
    <mergeCell ref="E11:E12"/>
    <mergeCell ref="A58:A62"/>
    <mergeCell ref="B58:B62"/>
    <mergeCell ref="C58:C62"/>
    <mergeCell ref="D58:D62"/>
    <mergeCell ref="E58:E62"/>
  </mergeCells>
  <printOptions/>
  <pageMargins left="0.75" right="0.75" top="0.35" bottom="0.36" header="0.5" footer="0.5"/>
  <pageSetup horizontalDpi="600" verticalDpi="600" orientation="landscape" paperSize="9" scale="57" r:id="rId1"/>
  <rowBreaks count="3" manualBreakCount="3">
    <brk id="31" max="255" man="1"/>
    <brk id="69" max="255" man="1"/>
    <brk id="10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5.875" style="12" customWidth="1"/>
    <col min="2" max="2" width="8.875" style="12" customWidth="1"/>
    <col min="3" max="3" width="33.00390625" style="12" customWidth="1"/>
    <col min="4" max="4" width="23.25390625" style="12" customWidth="1"/>
    <col min="5" max="5" width="24.25390625" style="12" customWidth="1"/>
    <col min="6" max="16384" width="9.125" style="12" customWidth="1"/>
  </cols>
  <sheetData>
    <row r="1" spans="1:5" s="9" customFormat="1" ht="15">
      <c r="A1" s="178" t="s">
        <v>82</v>
      </c>
      <c r="B1" s="209"/>
      <c r="C1" s="209"/>
      <c r="D1" s="209"/>
      <c r="E1" s="209"/>
    </row>
    <row r="2" spans="2:4" s="9" customFormat="1" ht="15.75" thickBot="1">
      <c r="B2" s="2"/>
      <c r="C2" s="2"/>
      <c r="D2" s="10"/>
    </row>
    <row r="3" spans="1:5" s="9" customFormat="1" ht="15">
      <c r="A3" s="218" t="s">
        <v>3</v>
      </c>
      <c r="B3" s="210" t="s">
        <v>51</v>
      </c>
      <c r="C3" s="210" t="s">
        <v>83</v>
      </c>
      <c r="D3" s="213" t="s">
        <v>84</v>
      </c>
      <c r="E3" s="223" t="s">
        <v>52</v>
      </c>
    </row>
    <row r="4" spans="1:5" s="9" customFormat="1" ht="15">
      <c r="A4" s="219"/>
      <c r="B4" s="221"/>
      <c r="C4" s="211"/>
      <c r="D4" s="214"/>
      <c r="E4" s="224"/>
    </row>
    <row r="5" spans="1:5" s="9" customFormat="1" ht="61.5" customHeight="1" thickBot="1">
      <c r="A5" s="220"/>
      <c r="B5" s="222"/>
      <c r="C5" s="212"/>
      <c r="D5" s="215"/>
      <c r="E5" s="225"/>
    </row>
    <row r="6" spans="1:5" s="9" customFormat="1" ht="35.25" customHeight="1" thickBot="1">
      <c r="A6" s="97" t="s">
        <v>53</v>
      </c>
      <c r="B6" s="35" t="s">
        <v>54</v>
      </c>
      <c r="C6" s="35" t="s">
        <v>55</v>
      </c>
      <c r="D6" s="11"/>
      <c r="E6" s="43"/>
    </row>
    <row r="7" spans="1:11" s="9" customFormat="1" ht="22.5" customHeight="1" thickBot="1">
      <c r="A7" s="97" t="s">
        <v>75</v>
      </c>
      <c r="B7" s="35"/>
      <c r="C7" s="35"/>
      <c r="D7" s="11"/>
      <c r="E7" s="44"/>
      <c r="K7" s="36"/>
    </row>
    <row r="8" spans="1:5" s="9" customFormat="1" ht="33" customHeight="1" thickBot="1">
      <c r="A8" s="97" t="s">
        <v>56</v>
      </c>
      <c r="B8" s="35" t="s">
        <v>57</v>
      </c>
      <c r="C8" s="35"/>
      <c r="D8" s="11"/>
      <c r="E8" s="44"/>
    </row>
    <row r="9" spans="1:5" s="9" customFormat="1" ht="19.5" customHeight="1" thickBot="1">
      <c r="A9" s="97" t="s">
        <v>58</v>
      </c>
      <c r="B9" s="35"/>
      <c r="C9" s="35"/>
      <c r="D9" s="11"/>
      <c r="E9" s="44"/>
    </row>
    <row r="10" spans="1:5" s="9" customFormat="1" ht="21.75" customHeight="1" thickBot="1">
      <c r="A10" s="97" t="s">
        <v>59</v>
      </c>
      <c r="B10" s="35" t="s">
        <v>60</v>
      </c>
      <c r="C10" s="35" t="s">
        <v>61</v>
      </c>
      <c r="D10" s="100">
        <v>14900000</v>
      </c>
      <c r="E10" s="101">
        <f>E12-E11</f>
        <v>153635529.47</v>
      </c>
    </row>
    <row r="11" spans="1:5" s="9" customFormat="1" ht="21" customHeight="1" thickBot="1">
      <c r="A11" s="97" t="s">
        <v>62</v>
      </c>
      <c r="B11" s="35" t="s">
        <v>63</v>
      </c>
      <c r="C11" s="35" t="s">
        <v>261</v>
      </c>
      <c r="D11" s="15">
        <v>80889000</v>
      </c>
      <c r="E11" s="25">
        <v>-71311515.33</v>
      </c>
    </row>
    <row r="12" spans="1:5" s="9" customFormat="1" ht="22.5" customHeight="1" thickBot="1">
      <c r="A12" s="98" t="s">
        <v>64</v>
      </c>
      <c r="B12" s="99" t="s">
        <v>65</v>
      </c>
      <c r="C12" s="99" t="s">
        <v>262</v>
      </c>
      <c r="D12" s="45">
        <v>80889000</v>
      </c>
      <c r="E12" s="46">
        <v>82324014.14</v>
      </c>
    </row>
    <row r="13" spans="1:4" s="9" customFormat="1" ht="15" customHeight="1">
      <c r="A13" s="2" t="s">
        <v>66</v>
      </c>
      <c r="B13" s="2"/>
      <c r="C13" s="2"/>
      <c r="D13" s="10"/>
    </row>
    <row r="14" spans="1:4" s="9" customFormat="1" ht="15" hidden="1">
      <c r="A14" s="2" t="s">
        <v>67</v>
      </c>
      <c r="B14" s="2"/>
      <c r="C14" s="2"/>
      <c r="D14" s="10"/>
    </row>
    <row r="15" spans="1:5" s="9" customFormat="1" ht="15">
      <c r="A15" s="216" t="s">
        <v>383</v>
      </c>
      <c r="B15" s="217"/>
      <c r="C15" s="217"/>
      <c r="D15" s="217"/>
      <c r="E15" s="217"/>
    </row>
    <row r="16" spans="1:5" s="9" customFormat="1" ht="15">
      <c r="A16" s="36" t="s">
        <v>68</v>
      </c>
      <c r="B16" s="36"/>
      <c r="C16" s="36"/>
      <c r="D16" s="226"/>
      <c r="E16" s="227"/>
    </row>
    <row r="17" spans="1:4" s="9" customFormat="1" ht="15">
      <c r="A17" s="9" t="s">
        <v>381</v>
      </c>
      <c r="B17" s="2"/>
      <c r="C17" s="2"/>
      <c r="D17" s="10"/>
    </row>
    <row r="18" spans="1:4" s="9" customFormat="1" ht="15">
      <c r="A18" s="9" t="s">
        <v>69</v>
      </c>
      <c r="B18" s="216" t="s">
        <v>382</v>
      </c>
      <c r="C18" s="217"/>
      <c r="D18" s="217"/>
    </row>
    <row r="19" spans="2:4" s="9" customFormat="1" ht="15">
      <c r="B19" s="2"/>
      <c r="C19" s="2"/>
      <c r="D19" s="10"/>
    </row>
    <row r="20" spans="2:4" s="9" customFormat="1" ht="1.5" customHeight="1">
      <c r="B20" s="2"/>
      <c r="C20" s="2"/>
      <c r="D20" s="10"/>
    </row>
    <row r="21" spans="1:4" s="9" customFormat="1" ht="15">
      <c r="A21" s="9" t="s">
        <v>119</v>
      </c>
      <c r="B21" s="2"/>
      <c r="C21" s="2"/>
      <c r="D21" s="10"/>
    </row>
    <row r="22" spans="1:4" s="9" customFormat="1" ht="15">
      <c r="A22" s="9" t="s">
        <v>70</v>
      </c>
      <c r="B22" s="216" t="s">
        <v>120</v>
      </c>
      <c r="C22" s="217"/>
      <c r="D22" s="217"/>
    </row>
    <row r="23" spans="1:4" s="9" customFormat="1" ht="15">
      <c r="A23" s="9" t="s">
        <v>71</v>
      </c>
      <c r="B23" s="2"/>
      <c r="C23" s="2"/>
      <c r="D23" s="10"/>
    </row>
    <row r="24" spans="1:4" s="9" customFormat="1" ht="1.5" customHeight="1">
      <c r="A24" s="9" t="s">
        <v>72</v>
      </c>
      <c r="B24" s="2"/>
      <c r="C24" s="2"/>
      <c r="D24" s="10"/>
    </row>
    <row r="25" spans="2:4" s="9" customFormat="1" ht="15">
      <c r="B25" s="2"/>
      <c r="C25" s="2"/>
      <c r="D25" s="10"/>
    </row>
    <row r="26" spans="2:4" s="9" customFormat="1" ht="15">
      <c r="B26" s="216"/>
      <c r="C26" s="217"/>
      <c r="D26" s="217"/>
    </row>
    <row r="27" spans="2:4" s="9" customFormat="1" ht="15">
      <c r="B27" s="2"/>
      <c r="C27" s="2"/>
      <c r="D27" s="10"/>
    </row>
    <row r="28" spans="1:4" s="9" customFormat="1" ht="15">
      <c r="A28" s="2"/>
      <c r="B28" s="2"/>
      <c r="C28" s="2"/>
      <c r="D28" s="10"/>
    </row>
  </sheetData>
  <sheetProtection/>
  <mergeCells count="11"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  <mergeCell ref="E3:E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6" width="18.125" style="68" customWidth="1"/>
    <col min="7" max="7" width="21.125" style="68" customWidth="1"/>
    <col min="8" max="8" width="18.00390625" style="68" customWidth="1"/>
    <col min="9" max="9" width="20.75390625" style="68" customWidth="1"/>
    <col min="10" max="10" width="17.625" style="68" customWidth="1"/>
    <col min="11" max="11" width="17.875" style="68" customWidth="1"/>
    <col min="12" max="13" width="20.125" style="68" customWidth="1"/>
    <col min="14" max="16" width="17.625" style="68" customWidth="1"/>
    <col min="17" max="18" width="20.125" style="68" customWidth="1"/>
    <col min="19" max="20" width="18.625" style="68" customWidth="1"/>
    <col min="21" max="21" width="22.375" style="68" customWidth="1"/>
    <col min="22" max="22" width="25.875" style="68" customWidth="1"/>
    <col min="23" max="16384" width="9.125" style="68" customWidth="1"/>
  </cols>
  <sheetData>
    <row r="1" spans="1:20" ht="21.75" customHeight="1">
      <c r="A1" s="228" t="s">
        <v>372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67"/>
    </row>
    <row r="2" spans="1:21" ht="21.75" customHeight="1">
      <c r="A2" s="69" t="s">
        <v>205</v>
      </c>
      <c r="B2" s="69" t="s">
        <v>286</v>
      </c>
      <c r="C2" s="69" t="s">
        <v>287</v>
      </c>
      <c r="D2" s="69" t="s">
        <v>288</v>
      </c>
      <c r="E2" s="69" t="s">
        <v>288</v>
      </c>
      <c r="F2" s="69" t="s">
        <v>289</v>
      </c>
      <c r="G2" s="69" t="s">
        <v>288</v>
      </c>
      <c r="H2" s="69" t="s">
        <v>290</v>
      </c>
      <c r="I2" s="69" t="s">
        <v>291</v>
      </c>
      <c r="J2" s="69" t="s">
        <v>292</v>
      </c>
      <c r="K2" s="69" t="s">
        <v>293</v>
      </c>
      <c r="L2" s="69" t="s">
        <v>294</v>
      </c>
      <c r="M2" s="69" t="s">
        <v>295</v>
      </c>
      <c r="N2" s="69" t="s">
        <v>296</v>
      </c>
      <c r="O2" s="69" t="s">
        <v>339</v>
      </c>
      <c r="P2" s="69" t="s">
        <v>297</v>
      </c>
      <c r="Q2" s="69" t="s">
        <v>298</v>
      </c>
      <c r="R2" s="69" t="s">
        <v>299</v>
      </c>
      <c r="S2" s="69" t="s">
        <v>300</v>
      </c>
      <c r="T2" s="69" t="s">
        <v>301</v>
      </c>
      <c r="U2" s="69" t="s">
        <v>302</v>
      </c>
    </row>
    <row r="3" spans="1:21" ht="21.75" customHeight="1">
      <c r="A3" s="69" t="s">
        <v>303</v>
      </c>
      <c r="B3" s="70">
        <v>657226.8</v>
      </c>
      <c r="C3" s="70">
        <v>280930</v>
      </c>
      <c r="D3" s="70">
        <v>503547.64</v>
      </c>
      <c r="E3" s="70">
        <v>5185929.36</v>
      </c>
      <c r="F3" s="70">
        <f>33595+33594+49118+38595+33595+50210+33595</f>
        <v>272302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>
        <f>G3+H3+I3+J3+K3+L3+N3+Q3+S3+F3+E3+D3+C3+B3+R3+T3</f>
        <v>6899935.8</v>
      </c>
    </row>
    <row r="4" spans="1:21" ht="21.75" customHeight="1">
      <c r="A4" s="69" t="s">
        <v>304</v>
      </c>
      <c r="B4" s="70">
        <v>97557</v>
      </c>
      <c r="C4" s="70">
        <v>37838</v>
      </c>
      <c r="D4" s="70">
        <v>74645</v>
      </c>
      <c r="E4" s="70">
        <v>705801</v>
      </c>
      <c r="F4" s="70">
        <f>4601+4602+8176+5348+4601+7084+4601</f>
        <v>39013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>
        <f>G4+H4+I4+J4+K4+L4+N4+Q4+S4+F4+E4+D4+C4+B4</f>
        <v>954854</v>
      </c>
    </row>
    <row r="5" spans="1:22" ht="21.75" customHeight="1">
      <c r="A5" s="69" t="s">
        <v>221</v>
      </c>
      <c r="B5" s="71">
        <f>B3+B4</f>
        <v>754783.8</v>
      </c>
      <c r="C5" s="71">
        <f aca="true" t="shared" si="0" ref="C5:U5">C3+C4</f>
        <v>318768</v>
      </c>
      <c r="D5" s="71">
        <f t="shared" si="0"/>
        <v>578192.64</v>
      </c>
      <c r="E5" s="71">
        <f t="shared" si="0"/>
        <v>5891730.36</v>
      </c>
      <c r="F5" s="71">
        <f t="shared" si="0"/>
        <v>311315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71">
        <f t="shared" si="0"/>
        <v>0</v>
      </c>
      <c r="L5" s="71">
        <f t="shared" si="0"/>
        <v>0</v>
      </c>
      <c r="M5" s="71">
        <f t="shared" si="0"/>
        <v>0</v>
      </c>
      <c r="N5" s="71">
        <f t="shared" si="0"/>
        <v>0</v>
      </c>
      <c r="O5" s="71"/>
      <c r="P5" s="71">
        <f t="shared" si="0"/>
        <v>0</v>
      </c>
      <c r="Q5" s="71">
        <f t="shared" si="0"/>
        <v>0</v>
      </c>
      <c r="R5" s="71">
        <f>R3+R4</f>
        <v>0</v>
      </c>
      <c r="S5" s="71">
        <f>S3+S4</f>
        <v>0</v>
      </c>
      <c r="T5" s="71">
        <f>T3+T4</f>
        <v>0</v>
      </c>
      <c r="U5" s="71">
        <f t="shared" si="0"/>
        <v>7854789.8</v>
      </c>
      <c r="V5" s="72">
        <f>U5</f>
        <v>7854789.8</v>
      </c>
    </row>
    <row r="6" spans="1:21" ht="21.75" customHeight="1">
      <c r="A6" s="69">
        <v>22</v>
      </c>
      <c r="B6" s="70">
        <f>18689.94+11997.04+11997.04+17995.56+13261.38+11997.04+17995.56</f>
        <v>103933.56</v>
      </c>
      <c r="C6" s="70">
        <f>5628.48+5628.48+8396.08+8155.84+5628.48+8396.08</f>
        <v>41833.44</v>
      </c>
      <c r="D6" s="70">
        <f>11195.58+11195.58+11195.58+12459.92+11195.58+11195.58</f>
        <v>68437.81999999999</v>
      </c>
      <c r="E6" s="70">
        <f>114258.08+112167.86+102321.86+125503.59+133702.59+107340.52+128323.37</f>
        <v>823617.87</v>
      </c>
      <c r="F6" s="70">
        <f>8403.12+8403.12+12604.68+9667.46+8403.12+12604.68</f>
        <v>60086.18000000001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>
        <f>G6+H6+I6+J6+K6+L6+N6+Q6+S6+F6+E6+D6+C6+B6</f>
        <v>1097908.87</v>
      </c>
    </row>
    <row r="7" spans="1:21" ht="21.75" customHeight="1">
      <c r="A7" s="69">
        <v>5.1</v>
      </c>
      <c r="B7" s="70">
        <f>2781.13+2781.13+4171.7+3074.23+2781.13+4171.7</f>
        <v>19761.02</v>
      </c>
      <c r="C7" s="70">
        <f>1304.78+1304.78+1946.38+1890.67+1304.78+1946.36</f>
        <v>9697.75</v>
      </c>
      <c r="D7" s="70">
        <f>2595.34+2595.34+2595.34+2888.43+2595.34+2595.34</f>
        <v>15865.130000000001</v>
      </c>
      <c r="E7" s="70">
        <f>26002.56+23720.07+29094+30994.68+24883.49+29747.68</f>
        <v>164442.47999999998</v>
      </c>
      <c r="F7" s="70">
        <f>1948+1947.99+2922+2241.09+1948+2921.99</f>
        <v>13929.07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>
        <f>G7+H7+I7+J7+K7+L7+N7+Q7+S7+F7+E7+D7+C7+B7</f>
        <v>223695.44999999998</v>
      </c>
    </row>
    <row r="8" spans="1:21" ht="21.75" customHeight="1">
      <c r="A8" s="69">
        <v>2.9</v>
      </c>
      <c r="B8" s="70">
        <f>1581.43+1581.43+2372.14+1748.09+1581.43+2372.14</f>
        <v>11236.66</v>
      </c>
      <c r="C8" s="70">
        <f>741.94+741.94+1106.74+1075.1+741.93+1106.76</f>
        <v>5514.41</v>
      </c>
      <c r="D8" s="70">
        <f>1475.78+1475.78+1475.78+1642.45+1475.78+1475.78</f>
        <v>9021.35</v>
      </c>
      <c r="E8" s="70">
        <f>14785.77+13487.86+16543.68+17624.44+14149.42+16915.38</f>
        <v>93506.55</v>
      </c>
      <c r="F8" s="70">
        <f>1107.68+1107.69+1661.52+1274.35+1107.69+1661.52</f>
        <v>7920.450000000001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>
        <f>G8+H8+I8+J8+K8+L8+N8+Q8+S8+F8+E8+D8+C8+B8</f>
        <v>127199.42000000001</v>
      </c>
    </row>
    <row r="9" spans="1:21" ht="21.75" customHeight="1">
      <c r="A9" s="69">
        <v>0.2</v>
      </c>
      <c r="B9" s="70">
        <f>109.06+109.07+163.59+120.56+163.59+109.07</f>
        <v>774.94</v>
      </c>
      <c r="C9" s="70">
        <f>51.16+51.18+76.32+74.15+51.16+76.34</f>
        <v>380.31000000000006</v>
      </c>
      <c r="D9" s="70">
        <f>101.78+101.78+101.77+113.28+101.78+101.77</f>
        <v>622.16</v>
      </c>
      <c r="E9" s="70">
        <f>1019.72+930.18+1140.95+1215.48+1166.6+975.79</f>
        <v>6448.72</v>
      </c>
      <c r="F9" s="70">
        <f>76.39+76.39+114.59+87.89+76.39+114.59</f>
        <v>546.24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>
        <f>G9+H9+I9+J9+K9+L9+N9+Q9+S9+F9+E9+D9+C9+B9</f>
        <v>8772.37</v>
      </c>
    </row>
    <row r="10" spans="1:22" ht="21.75" customHeight="1">
      <c r="A10" s="69" t="s">
        <v>221</v>
      </c>
      <c r="B10" s="71">
        <f>B6+B7+B8+B9</f>
        <v>135706.18</v>
      </c>
      <c r="C10" s="71">
        <f aca="true" t="shared" si="1" ref="C10:U10">C6+C7+C8+C9</f>
        <v>57425.91</v>
      </c>
      <c r="D10" s="71">
        <f t="shared" si="1"/>
        <v>93946.46</v>
      </c>
      <c r="E10" s="71">
        <f t="shared" si="1"/>
        <v>1088015.6199999999</v>
      </c>
      <c r="F10" s="71">
        <f t="shared" si="1"/>
        <v>82481.94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/>
      <c r="P10" s="71">
        <f t="shared" si="1"/>
        <v>0</v>
      </c>
      <c r="Q10" s="71">
        <f t="shared" si="1"/>
        <v>0</v>
      </c>
      <c r="R10" s="71">
        <f>R6+R7+R8+R9</f>
        <v>0</v>
      </c>
      <c r="S10" s="71">
        <f>S6+S7+S8+S9</f>
        <v>0</v>
      </c>
      <c r="T10" s="71">
        <f>T6+T7+T8+T9</f>
        <v>0</v>
      </c>
      <c r="U10" s="71">
        <f t="shared" si="1"/>
        <v>1457576.11</v>
      </c>
      <c r="V10" s="72">
        <f>U10</f>
        <v>1457576.11</v>
      </c>
    </row>
    <row r="11" spans="1:22" ht="24.75" customHeight="1">
      <c r="A11" s="69" t="s">
        <v>305</v>
      </c>
      <c r="B11" s="69"/>
      <c r="C11" s="69"/>
      <c r="D11" s="69"/>
      <c r="E11" s="69"/>
      <c r="F11" s="69"/>
      <c r="G11" s="70">
        <f>8621.46+87.55+8421.48+70.99+8172+52.75+8767.98+41.38+3500+8543.29+156.77+8716.13+3000</f>
        <v>58151.77999999999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>
        <f>G11+H11+I11+J11+K11+N11+Q11+T11+S11+R11+P11+M11+L11+F11+E11+D11+C11+B11</f>
        <v>58151.77999999999</v>
      </c>
      <c r="V11" s="72">
        <f>U11+U12</f>
        <v>114151.78</v>
      </c>
    </row>
    <row r="12" spans="1:21" ht="35.25" customHeight="1">
      <c r="A12" s="66" t="s">
        <v>306</v>
      </c>
      <c r="B12" s="66"/>
      <c r="C12" s="66"/>
      <c r="D12" s="66"/>
      <c r="E12" s="66"/>
      <c r="F12" s="66"/>
      <c r="G12" s="70">
        <f>8000+8000+8000+8000+8000+8000+8000</f>
        <v>56000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>
        <f aca="true" t="shared" si="2" ref="U12:U50">G12+H12+I12+J12+K12+N12+Q12+T12+S12+R12+P12+M12+L12+F12+E12+D12+C12+B12</f>
        <v>56000</v>
      </c>
    </row>
    <row r="13" spans="1:22" ht="38.25" customHeight="1">
      <c r="A13" s="66" t="s">
        <v>307</v>
      </c>
      <c r="B13" s="66"/>
      <c r="C13" s="66"/>
      <c r="D13" s="66"/>
      <c r="E13" s="66"/>
      <c r="F13" s="66"/>
      <c r="G13" s="70"/>
      <c r="H13" s="70"/>
      <c r="I13" s="70">
        <f>452982.92+21786.4+623199.72+23416.48+2263482.19+886113.87+335418.74+296423.61</f>
        <v>4902823.930000001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>
        <f t="shared" si="2"/>
        <v>4902823.930000001</v>
      </c>
      <c r="V13" s="72">
        <f>U13</f>
        <v>4902823.930000001</v>
      </c>
    </row>
    <row r="14" spans="1:22" ht="27" customHeight="1">
      <c r="A14" s="66" t="s">
        <v>337</v>
      </c>
      <c r="B14" s="66"/>
      <c r="C14" s="66"/>
      <c r="D14" s="66"/>
      <c r="E14" s="66"/>
      <c r="F14" s="66"/>
      <c r="G14" s="70"/>
      <c r="H14" s="70"/>
      <c r="I14" s="70">
        <f>183422.52+172033.54+160644.56+193612.66+974.06+974.06+974.06+974.06</f>
        <v>713609.5200000003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>
        <f t="shared" si="2"/>
        <v>713609.5200000003</v>
      </c>
      <c r="V14" s="72"/>
    </row>
    <row r="15" spans="1:21" ht="21" customHeight="1">
      <c r="A15" s="66" t="s">
        <v>308</v>
      </c>
      <c r="B15" s="66"/>
      <c r="C15" s="66"/>
      <c r="D15" s="66"/>
      <c r="E15" s="66"/>
      <c r="F15" s="66"/>
      <c r="G15" s="70">
        <f>3970+11000+1700</f>
        <v>16670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>
        <f t="shared" si="2"/>
        <v>16670</v>
      </c>
    </row>
    <row r="16" spans="1:22" ht="36" customHeight="1">
      <c r="A16" s="66" t="s">
        <v>309</v>
      </c>
      <c r="B16" s="66"/>
      <c r="C16" s="66"/>
      <c r="D16" s="66"/>
      <c r="E16" s="66"/>
      <c r="F16" s="66"/>
      <c r="G16" s="70">
        <f>105672+28285.5+1800</f>
        <v>135757.5</v>
      </c>
      <c r="H16" s="70"/>
      <c r="I16" s="70">
        <f>463406.32+287390.4+280000+200000+2048566+866171+3647208.8+440000+455230+630000+630000+402152.4+530000+530000+409894.4+192267.6+354033.6+580410+414730.4+560000+560000+647131.2+571348.8+570000+570000+458701.2+633622.8+1154912.4</f>
        <v>19087177.32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>
        <f t="shared" si="2"/>
        <v>19222934.82</v>
      </c>
      <c r="V16" s="72">
        <f>U15+U16+U14</f>
        <v>19953214.34</v>
      </c>
    </row>
    <row r="17" spans="1:21" ht="38.25" customHeight="1">
      <c r="A17" s="66" t="s">
        <v>310</v>
      </c>
      <c r="B17" s="66"/>
      <c r="C17" s="66"/>
      <c r="D17" s="66"/>
      <c r="E17" s="66"/>
      <c r="F17" s="66"/>
      <c r="G17" s="70">
        <f>8228+8228+3000+3000+3000+8720+2200+49300+12000+8720+3000+75059+8720+3000+8720+3000+8720+3000+12000+3000+8720</f>
        <v>243335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>
        <f t="shared" si="2"/>
        <v>243335</v>
      </c>
    </row>
    <row r="18" spans="1:21" ht="41.25" customHeight="1">
      <c r="A18" s="66" t="s">
        <v>311</v>
      </c>
      <c r="B18" s="66"/>
      <c r="C18" s="66"/>
      <c r="D18" s="66"/>
      <c r="E18" s="66"/>
      <c r="F18" s="66"/>
      <c r="G18" s="70">
        <v>1845.16</v>
      </c>
      <c r="H18" s="70"/>
      <c r="I18" s="70"/>
      <c r="J18" s="70"/>
      <c r="K18" s="70"/>
      <c r="L18" s="70"/>
      <c r="M18" s="70"/>
      <c r="N18" s="70"/>
      <c r="O18" s="70"/>
      <c r="P18" s="70"/>
      <c r="Q18" s="70">
        <f>15000+7000</f>
        <v>22000</v>
      </c>
      <c r="R18" s="70"/>
      <c r="S18" s="70"/>
      <c r="T18" s="70"/>
      <c r="U18" s="71">
        <f t="shared" si="2"/>
        <v>23845.16</v>
      </c>
    </row>
    <row r="19" spans="1:22" ht="18" customHeight="1">
      <c r="A19" s="66" t="s">
        <v>312</v>
      </c>
      <c r="B19" s="66"/>
      <c r="C19" s="66"/>
      <c r="D19" s="66"/>
      <c r="E19" s="66"/>
      <c r="F19" s="66"/>
      <c r="G19" s="70">
        <f>24300+7300+6300+21000+12200+7300+6000+8300+6000+38000+8800+5000+111800</f>
        <v>262300</v>
      </c>
      <c r="H19" s="70">
        <f>1743700+138224</f>
        <v>1881924</v>
      </c>
      <c r="I19" s="70"/>
      <c r="J19" s="70">
        <v>30000</v>
      </c>
      <c r="K19" s="70">
        <f>63000+17000</f>
        <v>80000</v>
      </c>
      <c r="L19" s="70">
        <f>35000+15000</f>
        <v>50000</v>
      </c>
      <c r="M19" s="70"/>
      <c r="N19" s="70">
        <f>10000+15000+14500+10000</f>
        <v>49500</v>
      </c>
      <c r="O19" s="70">
        <v>15000</v>
      </c>
      <c r="P19" s="70"/>
      <c r="Q19" s="70">
        <v>20000</v>
      </c>
      <c r="R19" s="70"/>
      <c r="S19" s="70">
        <v>18000</v>
      </c>
      <c r="T19" s="70"/>
      <c r="U19" s="71">
        <f>G19+H19+I19+J19+K19+N19+Q19+T19+S19+R19+P19+M19+L19+F19+E19+D19+C19+B19+O19</f>
        <v>2406724</v>
      </c>
      <c r="V19" s="72">
        <f>U17+U18+U19</f>
        <v>2673904.16</v>
      </c>
    </row>
    <row r="20" spans="1:21" ht="18" customHeight="1" hidden="1">
      <c r="A20" s="66">
        <v>262</v>
      </c>
      <c r="B20" s="66"/>
      <c r="C20" s="66"/>
      <c r="D20" s="66"/>
      <c r="E20" s="66"/>
      <c r="F20" s="66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>
        <f t="shared" si="2"/>
        <v>0</v>
      </c>
    </row>
    <row r="21" spans="1:21" ht="18" customHeight="1" hidden="1">
      <c r="A21" s="66">
        <v>263</v>
      </c>
      <c r="B21" s="66"/>
      <c r="C21" s="66"/>
      <c r="D21" s="66"/>
      <c r="E21" s="66"/>
      <c r="F21" s="66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 t="shared" si="2"/>
        <v>0</v>
      </c>
    </row>
    <row r="22" spans="1:22" ht="18" customHeight="1">
      <c r="A22" s="66" t="s">
        <v>336</v>
      </c>
      <c r="B22" s="66"/>
      <c r="C22" s="66"/>
      <c r="D22" s="66"/>
      <c r="E22" s="66"/>
      <c r="F22" s="66"/>
      <c r="G22" s="70">
        <v>3631.16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 t="shared" si="2"/>
        <v>3631.16</v>
      </c>
      <c r="V22" s="72">
        <f>U22</f>
        <v>3631.16</v>
      </c>
    </row>
    <row r="23" spans="1:21" ht="18" customHeight="1">
      <c r="A23" s="66" t="s">
        <v>313</v>
      </c>
      <c r="B23" s="66"/>
      <c r="C23" s="66"/>
      <c r="D23" s="66"/>
      <c r="E23" s="66"/>
      <c r="F23" s="66"/>
      <c r="G23" s="70"/>
      <c r="H23" s="70"/>
      <c r="I23" s="70">
        <f>1789169.85+1142155.04+2273089.27+317244.2+1894633.73+1697572.85</f>
        <v>9113864.94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>
        <f t="shared" si="2"/>
        <v>9113864.94</v>
      </c>
    </row>
    <row r="24" spans="1:22" ht="18" customHeight="1">
      <c r="A24" s="66" t="s">
        <v>313</v>
      </c>
      <c r="B24" s="66"/>
      <c r="C24" s="66"/>
      <c r="D24" s="66"/>
      <c r="E24" s="66"/>
      <c r="F24" s="6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>
        <f t="shared" si="2"/>
        <v>0</v>
      </c>
      <c r="V24" s="72">
        <f>U23+U24</f>
        <v>9113864.94</v>
      </c>
    </row>
    <row r="25" spans="1:22" ht="18" customHeight="1">
      <c r="A25" s="66" t="s">
        <v>314</v>
      </c>
      <c r="B25" s="66"/>
      <c r="C25" s="66"/>
      <c r="D25" s="66"/>
      <c r="E25" s="66"/>
      <c r="F25" s="66"/>
      <c r="G25" s="70"/>
      <c r="H25" s="70"/>
      <c r="I25" s="70">
        <f>37750</f>
        <v>37750</v>
      </c>
      <c r="J25" s="70"/>
      <c r="K25" s="70"/>
      <c r="L25" s="70"/>
      <c r="M25" s="70"/>
      <c r="N25" s="70"/>
      <c r="O25" s="70"/>
      <c r="P25" s="70"/>
      <c r="Q25" s="70"/>
      <c r="R25" s="70"/>
      <c r="S25" s="70">
        <f>135945.29+159786.07+303493.14+16000+145105.07+158374.41</f>
        <v>918703.9800000001</v>
      </c>
      <c r="T25" s="70"/>
      <c r="U25" s="71">
        <f t="shared" si="2"/>
        <v>956453.9800000001</v>
      </c>
      <c r="V25" s="72">
        <f>U25</f>
        <v>956453.9800000001</v>
      </c>
    </row>
    <row r="26" spans="1:22" ht="18" customHeight="1">
      <c r="A26" s="66" t="s">
        <v>315</v>
      </c>
      <c r="B26" s="66"/>
      <c r="C26" s="66"/>
      <c r="D26" s="66"/>
      <c r="E26" s="66"/>
      <c r="F26" s="66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>
        <f t="shared" si="2"/>
        <v>0</v>
      </c>
      <c r="V26" s="72">
        <f>U26</f>
        <v>0</v>
      </c>
    </row>
    <row r="27" spans="1:22" ht="18" customHeight="1">
      <c r="A27" s="66" t="s">
        <v>316</v>
      </c>
      <c r="B27" s="66"/>
      <c r="C27" s="66"/>
      <c r="D27" s="66"/>
      <c r="E27" s="66"/>
      <c r="F27" s="66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>
        <f>30000+162000+274000+158000+467000+70000+200000+319000+10000+122000</f>
        <v>1812000</v>
      </c>
      <c r="R27" s="70"/>
      <c r="S27" s="70"/>
      <c r="T27" s="70"/>
      <c r="U27" s="71">
        <f t="shared" si="2"/>
        <v>1812000</v>
      </c>
      <c r="V27" s="72">
        <f>U27</f>
        <v>1812000</v>
      </c>
    </row>
    <row r="28" spans="1:22" ht="18" customHeight="1">
      <c r="A28" s="66" t="s">
        <v>317</v>
      </c>
      <c r="B28" s="66"/>
      <c r="C28" s="66"/>
      <c r="D28" s="66"/>
      <c r="E28" s="66"/>
      <c r="F28" s="66"/>
      <c r="G28" s="70"/>
      <c r="H28" s="70"/>
      <c r="I28" s="70"/>
      <c r="J28" s="70"/>
      <c r="K28" s="70"/>
      <c r="L28" s="70"/>
      <c r="M28" s="70"/>
      <c r="N28" s="70"/>
      <c r="O28" s="70"/>
      <c r="P28" s="70">
        <f>67848.16+67848.16+135696.32+67848.16+67848.16</f>
        <v>407088.9600000001</v>
      </c>
      <c r="Q28" s="70"/>
      <c r="R28" s="70"/>
      <c r="S28" s="70"/>
      <c r="T28" s="70"/>
      <c r="U28" s="71">
        <f t="shared" si="2"/>
        <v>407088.9600000001</v>
      </c>
      <c r="V28" s="72">
        <f>U28</f>
        <v>407088.9600000001</v>
      </c>
    </row>
    <row r="29" spans="1:22" ht="24" customHeight="1">
      <c r="A29" s="66">
        <v>290</v>
      </c>
      <c r="B29" s="66"/>
      <c r="C29" s="66"/>
      <c r="D29" s="66"/>
      <c r="E29" s="66"/>
      <c r="F29" s="66"/>
      <c r="G29" s="73"/>
      <c r="H29" s="73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>
        <f t="shared" si="2"/>
        <v>0</v>
      </c>
      <c r="V29" s="72">
        <f>U29</f>
        <v>0</v>
      </c>
    </row>
    <row r="30" spans="1:21" ht="36.75" customHeight="1">
      <c r="A30" s="66" t="s">
        <v>318</v>
      </c>
      <c r="B30" s="66"/>
      <c r="C30" s="66"/>
      <c r="D30" s="66"/>
      <c r="E30" s="66"/>
      <c r="F30" s="66"/>
      <c r="G30" s="73">
        <v>24432</v>
      </c>
      <c r="H30" s="73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>
        <f t="shared" si="2"/>
        <v>24432</v>
      </c>
    </row>
    <row r="31" spans="1:21" ht="34.5" customHeight="1">
      <c r="A31" s="66" t="s">
        <v>319</v>
      </c>
      <c r="B31" s="66"/>
      <c r="C31" s="66"/>
      <c r="D31" s="66"/>
      <c r="E31" s="66"/>
      <c r="F31" s="66"/>
      <c r="G31" s="73">
        <f>5170+222172</f>
        <v>227342</v>
      </c>
      <c r="H31" s="7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>
        <f t="shared" si="2"/>
        <v>227342</v>
      </c>
    </row>
    <row r="32" spans="1:22" ht="21.75" customHeight="1">
      <c r="A32" s="66" t="s">
        <v>320</v>
      </c>
      <c r="B32" s="66"/>
      <c r="C32" s="66"/>
      <c r="D32" s="66"/>
      <c r="E32" s="66"/>
      <c r="F32" s="66"/>
      <c r="G32" s="73">
        <v>5149</v>
      </c>
      <c r="H32" s="73"/>
      <c r="I32" s="70">
        <f>82000+5305+467475+13045</f>
        <v>567825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>
        <f t="shared" si="2"/>
        <v>572974</v>
      </c>
      <c r="V32" s="72">
        <f>U30+U31+U32</f>
        <v>824748</v>
      </c>
    </row>
    <row r="33" spans="1:21" ht="21" customHeight="1">
      <c r="A33" s="66" t="s">
        <v>321</v>
      </c>
      <c r="B33" s="66"/>
      <c r="C33" s="66"/>
      <c r="D33" s="66"/>
      <c r="E33" s="66"/>
      <c r="F33" s="66"/>
      <c r="G33" s="73">
        <f>14793.26+36365.79+39444.69+46297.5+46013.41+45289.67</f>
        <v>228204.32</v>
      </c>
      <c r="H33" s="73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>
        <f t="shared" si="2"/>
        <v>228204.32</v>
      </c>
    </row>
    <row r="34" spans="1:21" ht="18" customHeight="1">
      <c r="A34" s="66" t="s">
        <v>326</v>
      </c>
      <c r="B34" s="66"/>
      <c r="C34" s="66"/>
      <c r="D34" s="66"/>
      <c r="E34" s="66"/>
      <c r="F34" s="66"/>
      <c r="G34" s="73">
        <f>25354.84+2000+7000+9000+170+130+2100+4050</f>
        <v>49804.84</v>
      </c>
      <c r="H34" s="7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>
        <f t="shared" si="2"/>
        <v>49804.84</v>
      </c>
    </row>
    <row r="35" spans="1:22" ht="33" customHeight="1">
      <c r="A35" s="66" t="s">
        <v>327</v>
      </c>
      <c r="B35" s="66"/>
      <c r="C35" s="66"/>
      <c r="D35" s="66"/>
      <c r="E35" s="66"/>
      <c r="F35" s="66"/>
      <c r="G35" s="159">
        <f>4200+770+8250+30000+600+7730+600+580+6000+700+1000+23985+74750+23895+570+40000+6400+4800+900</f>
        <v>235730</v>
      </c>
      <c r="H35" s="7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>
        <f t="shared" si="2"/>
        <v>235730</v>
      </c>
      <c r="V35" s="72">
        <f>U33+U34+U35</f>
        <v>513739.16000000003</v>
      </c>
    </row>
    <row r="36" spans="1:21" ht="18" customHeight="1">
      <c r="A36" s="66" t="s">
        <v>369</v>
      </c>
      <c r="B36" s="66"/>
      <c r="C36" s="66"/>
      <c r="D36" s="66"/>
      <c r="E36" s="66"/>
      <c r="F36" s="66"/>
      <c r="G36" s="73">
        <v>58595</v>
      </c>
      <c r="H36" s="73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>
        <f t="shared" si="2"/>
        <v>58595</v>
      </c>
    </row>
    <row r="37" spans="1:21" ht="18" customHeight="1" hidden="1">
      <c r="A37" s="66"/>
      <c r="B37" s="66"/>
      <c r="C37" s="66"/>
      <c r="D37" s="66"/>
      <c r="E37" s="66"/>
      <c r="F37" s="66"/>
      <c r="G37" s="73"/>
      <c r="H37" s="73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>
        <f t="shared" si="2"/>
        <v>0</v>
      </c>
    </row>
    <row r="38" spans="1:21" ht="18" customHeight="1" hidden="1">
      <c r="A38" s="66"/>
      <c r="B38" s="66"/>
      <c r="C38" s="66"/>
      <c r="D38" s="66"/>
      <c r="E38" s="66"/>
      <c r="F38" s="66"/>
      <c r="G38" s="73"/>
      <c r="H38" s="73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>
        <f t="shared" si="2"/>
        <v>0</v>
      </c>
    </row>
    <row r="39" spans="1:21" ht="18" customHeight="1" hidden="1">
      <c r="A39" s="66"/>
      <c r="B39" s="66"/>
      <c r="C39" s="66"/>
      <c r="D39" s="66"/>
      <c r="E39" s="66"/>
      <c r="F39" s="66"/>
      <c r="G39" s="73"/>
      <c r="H39" s="73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>
        <f t="shared" si="2"/>
        <v>0</v>
      </c>
    </row>
    <row r="40" spans="1:21" ht="18" customHeight="1" hidden="1">
      <c r="A40" s="66"/>
      <c r="B40" s="66"/>
      <c r="C40" s="66"/>
      <c r="D40" s="66"/>
      <c r="E40" s="66"/>
      <c r="F40" s="66"/>
      <c r="G40" s="73"/>
      <c r="H40" s="7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>
        <f t="shared" si="2"/>
        <v>0</v>
      </c>
    </row>
    <row r="41" spans="1:21" ht="18" customHeight="1" hidden="1">
      <c r="A41" s="66"/>
      <c r="B41" s="66"/>
      <c r="C41" s="66"/>
      <c r="D41" s="66"/>
      <c r="E41" s="66"/>
      <c r="F41" s="66"/>
      <c r="G41" s="73"/>
      <c r="H41" s="73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>
        <f t="shared" si="2"/>
        <v>0</v>
      </c>
    </row>
    <row r="42" spans="1:21" ht="18" customHeight="1" hidden="1">
      <c r="A42" s="66"/>
      <c r="B42" s="66"/>
      <c r="C42" s="66"/>
      <c r="D42" s="66"/>
      <c r="E42" s="66"/>
      <c r="F42" s="66"/>
      <c r="G42" s="73"/>
      <c r="H42" s="73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1">
        <f t="shared" si="2"/>
        <v>0</v>
      </c>
    </row>
    <row r="43" spans="1:21" ht="18" customHeight="1" hidden="1">
      <c r="A43" s="66"/>
      <c r="B43" s="66"/>
      <c r="C43" s="66"/>
      <c r="D43" s="66"/>
      <c r="E43" s="66"/>
      <c r="F43" s="66"/>
      <c r="G43" s="73"/>
      <c r="H43" s="73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>
        <f t="shared" si="2"/>
        <v>0</v>
      </c>
    </row>
    <row r="44" spans="1:21" ht="18" customHeight="1" hidden="1">
      <c r="A44" s="66"/>
      <c r="B44" s="66"/>
      <c r="C44" s="66"/>
      <c r="D44" s="66"/>
      <c r="E44" s="66"/>
      <c r="F44" s="66"/>
      <c r="G44" s="73"/>
      <c r="H44" s="73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>
        <f t="shared" si="2"/>
        <v>0</v>
      </c>
    </row>
    <row r="45" spans="1:21" ht="18" customHeight="1" hidden="1">
      <c r="A45" s="66"/>
      <c r="B45" s="66"/>
      <c r="C45" s="66"/>
      <c r="D45" s="66"/>
      <c r="E45" s="66"/>
      <c r="F45" s="66"/>
      <c r="G45" s="73"/>
      <c r="H45" s="73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>
        <f t="shared" si="2"/>
        <v>0</v>
      </c>
    </row>
    <row r="46" spans="1:21" ht="18" customHeight="1">
      <c r="A46" s="66" t="s">
        <v>370</v>
      </c>
      <c r="B46" s="66"/>
      <c r="C46" s="66"/>
      <c r="D46" s="66"/>
      <c r="E46" s="66"/>
      <c r="F46" s="66"/>
      <c r="G46" s="73">
        <v>1835</v>
      </c>
      <c r="H46" s="73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>
        <f t="shared" si="2"/>
        <v>1835</v>
      </c>
    </row>
    <row r="47" spans="1:22" ht="18" customHeight="1">
      <c r="A47" s="66" t="s">
        <v>371</v>
      </c>
      <c r="B47" s="66"/>
      <c r="C47" s="66"/>
      <c r="D47" s="66"/>
      <c r="E47" s="66"/>
      <c r="F47" s="66"/>
      <c r="G47" s="73">
        <v>10000</v>
      </c>
      <c r="H47" s="73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>
        <f t="shared" si="2"/>
        <v>10000</v>
      </c>
      <c r="V47" s="72">
        <f>U36+U46+U47</f>
        <v>70430</v>
      </c>
    </row>
    <row r="48" spans="1:21" ht="18" customHeight="1">
      <c r="A48" s="66"/>
      <c r="B48" s="66"/>
      <c r="C48" s="66"/>
      <c r="D48" s="66"/>
      <c r="E48" s="66"/>
      <c r="F48" s="66"/>
      <c r="G48" s="73"/>
      <c r="H48" s="73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>
        <f t="shared" si="2"/>
        <v>0</v>
      </c>
    </row>
    <row r="49" spans="1:21" ht="18" customHeight="1">
      <c r="A49" s="66"/>
      <c r="B49" s="66"/>
      <c r="C49" s="66"/>
      <c r="D49" s="66"/>
      <c r="E49" s="66"/>
      <c r="F49" s="66"/>
      <c r="G49" s="73"/>
      <c r="H49" s="73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>
        <f t="shared" si="2"/>
        <v>0</v>
      </c>
    </row>
    <row r="50" spans="1:21" ht="18" customHeight="1">
      <c r="A50" s="66"/>
      <c r="B50" s="66"/>
      <c r="C50" s="66"/>
      <c r="D50" s="66"/>
      <c r="E50" s="66"/>
      <c r="F50" s="66"/>
      <c r="G50" s="73"/>
      <c r="H50" s="73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>
        <f t="shared" si="2"/>
        <v>0</v>
      </c>
    </row>
    <row r="51" spans="1:22" s="76" customFormat="1" ht="18" customHeight="1">
      <c r="A51" s="74" t="s">
        <v>221</v>
      </c>
      <c r="B51" s="71">
        <f>B5+B10+B11+B12+B13+B15+B16+B17+B18+B19+B29+B30+B31+B32+B33+B34+B35+B23+B24+B25+B26+B27+B28</f>
        <v>890489.98</v>
      </c>
      <c r="C51" s="71">
        <f aca="true" t="shared" si="3" ref="C51:T51">C5+C10+C11+C12+C13+C15+C16+C17+C18+C19+C29+C30+C31+C32+C33+C34+C35+C23+C24+C25+C26+C27+C28</f>
        <v>376193.91000000003</v>
      </c>
      <c r="D51" s="71">
        <f t="shared" si="3"/>
        <v>672139.1</v>
      </c>
      <c r="E51" s="71">
        <f t="shared" si="3"/>
        <v>6979745.98</v>
      </c>
      <c r="F51" s="71">
        <f t="shared" si="3"/>
        <v>393796.94</v>
      </c>
      <c r="G51" s="71">
        <f>G5+G10+G11+G12+G13+G15+G16+G17+G18+G19+G29+G30+G31+G32+G33+G34+G35+G23+G24+G25+G26+G27+G28+G22+G36+G46+G47</f>
        <v>1618782.76</v>
      </c>
      <c r="H51" s="71">
        <f t="shared" si="3"/>
        <v>1881924</v>
      </c>
      <c r="I51" s="71">
        <f>I5+I10+I11+I12+I13+I15+I16+I17+I18+I19+I29+I30+I31+I32+I33+I34+I35+I23+I24+I25+I26+I27+I28+I14</f>
        <v>34423050.71</v>
      </c>
      <c r="J51" s="71">
        <f t="shared" si="3"/>
        <v>30000</v>
      </c>
      <c r="K51" s="71">
        <f t="shared" si="3"/>
        <v>80000</v>
      </c>
      <c r="L51" s="71">
        <f t="shared" si="3"/>
        <v>50000</v>
      </c>
      <c r="M51" s="71">
        <f t="shared" si="3"/>
        <v>0</v>
      </c>
      <c r="N51" s="71">
        <f t="shared" si="3"/>
        <v>49500</v>
      </c>
      <c r="O51" s="71">
        <f t="shared" si="3"/>
        <v>15000</v>
      </c>
      <c r="P51" s="71">
        <f t="shared" si="3"/>
        <v>407088.9600000001</v>
      </c>
      <c r="Q51" s="71">
        <f t="shared" si="3"/>
        <v>1854000</v>
      </c>
      <c r="R51" s="71">
        <f t="shared" si="3"/>
        <v>0</v>
      </c>
      <c r="S51" s="71">
        <f t="shared" si="3"/>
        <v>936703.9800000001</v>
      </c>
      <c r="T51" s="71">
        <f t="shared" si="3"/>
        <v>0</v>
      </c>
      <c r="U51" s="71">
        <f>G51+H51+I51+J51+K51+N51+Q51+T51+S51+R51+P51+M51+L51+F51+E51+D51+C51+B51+O51</f>
        <v>50658416.31999999</v>
      </c>
      <c r="V51" s="75">
        <f>SUM(V5:V50)</f>
        <v>50658416.31999999</v>
      </c>
    </row>
    <row r="52" ht="18" customHeight="1"/>
    <row r="53" spans="2:9" ht="18" customHeight="1">
      <c r="B53" s="72"/>
      <c r="I53" s="72"/>
    </row>
    <row r="54" ht="18" customHeight="1">
      <c r="U54" s="72"/>
    </row>
    <row r="55" spans="2:13" ht="18" customHeight="1">
      <c r="B55" s="72"/>
      <c r="H55" s="72"/>
      <c r="J55" s="72"/>
      <c r="K55" s="72"/>
      <c r="L55" s="72"/>
      <c r="M55" s="72"/>
    </row>
    <row r="56" ht="18" customHeight="1">
      <c r="I56" s="72"/>
    </row>
    <row r="57" ht="18" customHeight="1">
      <c r="I57" s="72"/>
    </row>
    <row r="58" ht="18" customHeight="1">
      <c r="I58" s="72"/>
    </row>
    <row r="59" ht="18" customHeight="1"/>
    <row r="60" spans="1:3" ht="18" customHeight="1">
      <c r="A60" s="68" t="s">
        <v>324</v>
      </c>
      <c r="C60" s="72">
        <v>3293100</v>
      </c>
    </row>
    <row r="61" spans="1:3" ht="18" customHeight="1">
      <c r="A61" s="68" t="s">
        <v>325</v>
      </c>
      <c r="C61" s="72">
        <v>694950</v>
      </c>
    </row>
    <row r="62" ht="18" customHeight="1"/>
    <row r="63" spans="2:3" ht="18" customHeight="1">
      <c r="B63" s="68">
        <v>211</v>
      </c>
      <c r="C63" s="72">
        <f>U5</f>
        <v>7854789.8</v>
      </c>
    </row>
    <row r="64" spans="2:3" ht="18" customHeight="1">
      <c r="B64" s="68">
        <v>213</v>
      </c>
      <c r="C64" s="72">
        <f>U10</f>
        <v>1457576.11</v>
      </c>
    </row>
    <row r="65" spans="2:3" ht="18" customHeight="1">
      <c r="B65" s="68">
        <v>221</v>
      </c>
      <c r="C65" s="72">
        <f>U11+U12</f>
        <v>114151.78</v>
      </c>
    </row>
    <row r="66" spans="2:3" ht="18" customHeight="1">
      <c r="B66" s="68">
        <v>223</v>
      </c>
      <c r="C66" s="72">
        <f>U13</f>
        <v>4902823.930000001</v>
      </c>
    </row>
    <row r="67" spans="2:3" ht="18" customHeight="1">
      <c r="B67" s="68">
        <v>223</v>
      </c>
      <c r="C67" s="72">
        <f>U14</f>
        <v>713609.5200000003</v>
      </c>
    </row>
    <row r="68" spans="2:3" ht="18" customHeight="1">
      <c r="B68" s="68">
        <v>225</v>
      </c>
      <c r="C68" s="72">
        <f>U15+U16</f>
        <v>19239604.82</v>
      </c>
    </row>
    <row r="69" spans="2:3" ht="18" customHeight="1">
      <c r="B69" s="68">
        <v>226</v>
      </c>
      <c r="C69" s="72">
        <f>U17+U18+U19</f>
        <v>2673904.16</v>
      </c>
    </row>
    <row r="70" spans="2:3" ht="18" customHeight="1">
      <c r="B70" s="68">
        <v>227</v>
      </c>
      <c r="C70" s="72">
        <f>G22</f>
        <v>3631.16</v>
      </c>
    </row>
    <row r="71" spans="2:3" ht="18" customHeight="1">
      <c r="B71" s="68">
        <v>310</v>
      </c>
      <c r="C71" s="72">
        <f>U30+U31+U32</f>
        <v>824748</v>
      </c>
    </row>
    <row r="72" spans="2:3" ht="18" customHeight="1">
      <c r="B72" s="68">
        <v>340</v>
      </c>
      <c r="C72" s="72">
        <f>U33+U34+U35</f>
        <v>513739.16000000003</v>
      </c>
    </row>
    <row r="73" spans="2:3" ht="18" customHeight="1">
      <c r="B73" s="68">
        <v>241</v>
      </c>
      <c r="C73" s="72">
        <f>U23+U24</f>
        <v>9113864.94</v>
      </c>
    </row>
    <row r="74" spans="2:3" ht="18" customHeight="1">
      <c r="B74" s="68">
        <v>246</v>
      </c>
      <c r="C74" s="72">
        <f>U25</f>
        <v>956453.9800000001</v>
      </c>
    </row>
    <row r="75" spans="2:3" ht="18" customHeight="1">
      <c r="B75" s="68">
        <v>251</v>
      </c>
      <c r="C75" s="72">
        <f>U26</f>
        <v>0</v>
      </c>
    </row>
    <row r="76" spans="2:3" ht="18" customHeight="1">
      <c r="B76" s="68">
        <v>262</v>
      </c>
      <c r="C76" s="72">
        <f>U27</f>
        <v>1812000</v>
      </c>
    </row>
    <row r="77" spans="2:3" ht="18" customHeight="1">
      <c r="B77" s="68">
        <v>264</v>
      </c>
      <c r="C77" s="72">
        <f>U28</f>
        <v>407088.9600000001</v>
      </c>
    </row>
    <row r="78" spans="2:3" ht="18" customHeight="1">
      <c r="B78" s="68">
        <v>295</v>
      </c>
      <c r="C78" s="72">
        <f>G29-269100</f>
        <v>-269100</v>
      </c>
    </row>
    <row r="79" spans="2:3" ht="18" customHeight="1">
      <c r="B79" s="68">
        <v>297</v>
      </c>
      <c r="C79" s="72">
        <f>J29+K29+L29+N29+Q29+S29+269100</f>
        <v>269100</v>
      </c>
    </row>
    <row r="80" ht="18" customHeight="1">
      <c r="C80" s="72">
        <f>SUM(C63:C79)</f>
        <v>50587986.31999999</v>
      </c>
    </row>
    <row r="81" ht="18" customHeight="1"/>
    <row r="82" ht="18" customHeight="1"/>
    <row r="83" ht="18" customHeight="1">
      <c r="C83" s="72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6" width="18.125" style="68" customWidth="1"/>
    <col min="7" max="7" width="21.125" style="68" customWidth="1"/>
    <col min="8" max="8" width="18.00390625" style="68" customWidth="1"/>
    <col min="9" max="9" width="20.75390625" style="68" customWidth="1"/>
    <col min="10" max="10" width="17.625" style="68" customWidth="1"/>
    <col min="11" max="11" width="17.875" style="68" customWidth="1"/>
    <col min="12" max="13" width="20.125" style="68" customWidth="1"/>
    <col min="14" max="16" width="17.625" style="68" customWidth="1"/>
    <col min="17" max="18" width="20.125" style="68" customWidth="1"/>
    <col min="19" max="20" width="18.625" style="68" customWidth="1"/>
    <col min="21" max="21" width="22.375" style="68" customWidth="1"/>
    <col min="22" max="22" width="25.875" style="68" customWidth="1"/>
    <col min="23" max="16384" width="9.125" style="68" customWidth="1"/>
  </cols>
  <sheetData>
    <row r="1" spans="1:20" ht="21.75" customHeight="1">
      <c r="A1" s="228" t="s">
        <v>373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67"/>
    </row>
    <row r="2" spans="1:21" ht="21.75" customHeight="1">
      <c r="A2" s="69" t="s">
        <v>205</v>
      </c>
      <c r="B2" s="69" t="s">
        <v>286</v>
      </c>
      <c r="C2" s="69" t="s">
        <v>287</v>
      </c>
      <c r="D2" s="69" t="s">
        <v>288</v>
      </c>
      <c r="E2" s="69" t="s">
        <v>288</v>
      </c>
      <c r="F2" s="69" t="s">
        <v>289</v>
      </c>
      <c r="G2" s="69" t="s">
        <v>288</v>
      </c>
      <c r="H2" s="69" t="s">
        <v>290</v>
      </c>
      <c r="I2" s="69" t="s">
        <v>291</v>
      </c>
      <c r="J2" s="69" t="s">
        <v>292</v>
      </c>
      <c r="K2" s="69" t="s">
        <v>293</v>
      </c>
      <c r="L2" s="69" t="s">
        <v>294</v>
      </c>
      <c r="M2" s="69" t="s">
        <v>295</v>
      </c>
      <c r="N2" s="69" t="s">
        <v>296</v>
      </c>
      <c r="O2" s="69" t="s">
        <v>339</v>
      </c>
      <c r="P2" s="69" t="s">
        <v>297</v>
      </c>
      <c r="Q2" s="69" t="s">
        <v>298</v>
      </c>
      <c r="R2" s="69" t="s">
        <v>299</v>
      </c>
      <c r="S2" s="69" t="s">
        <v>300</v>
      </c>
      <c r="T2" s="69" t="s">
        <v>301</v>
      </c>
      <c r="U2" s="69" t="s">
        <v>302</v>
      </c>
    </row>
    <row r="3" spans="1:21" ht="21.75" customHeight="1">
      <c r="A3" s="69" t="s">
        <v>303</v>
      </c>
      <c r="B3" s="70">
        <v>657226.8</v>
      </c>
      <c r="C3" s="70">
        <v>280930</v>
      </c>
      <c r="D3" s="70">
        <v>503547.64</v>
      </c>
      <c r="E3" s="70">
        <v>5185929.36</v>
      </c>
      <c r="F3" s="70">
        <v>459366.81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>
        <f>G3+H3+I3+J3+K3+L3+N3+Q3+S3+F3+E3+D3+C3+B3+R3+T3</f>
        <v>7087000.609999999</v>
      </c>
    </row>
    <row r="4" spans="1:21" ht="21.75" customHeight="1">
      <c r="A4" s="69" t="s">
        <v>304</v>
      </c>
      <c r="B4" s="70">
        <v>97557</v>
      </c>
      <c r="C4" s="70">
        <v>37838</v>
      </c>
      <c r="D4" s="70">
        <v>74645</v>
      </c>
      <c r="E4" s="70">
        <v>705801</v>
      </c>
      <c r="F4" s="70">
        <v>51426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>
        <f>G4+H4+I4+J4+K4+L4+N4+Q4+S4+F4+E4+D4+C4+B4</f>
        <v>967267</v>
      </c>
    </row>
    <row r="5" spans="1:22" ht="21.75" customHeight="1">
      <c r="A5" s="69" t="s">
        <v>221</v>
      </c>
      <c r="B5" s="71">
        <f>B3+B4</f>
        <v>754783.8</v>
      </c>
      <c r="C5" s="71">
        <f aca="true" t="shared" si="0" ref="C5:U5">C3+C4</f>
        <v>318768</v>
      </c>
      <c r="D5" s="71">
        <f t="shared" si="0"/>
        <v>578192.64</v>
      </c>
      <c r="E5" s="71">
        <f t="shared" si="0"/>
        <v>5891730.36</v>
      </c>
      <c r="F5" s="71">
        <f t="shared" si="0"/>
        <v>510792.81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1">
        <f t="shared" si="0"/>
        <v>0</v>
      </c>
      <c r="K5" s="71">
        <f t="shared" si="0"/>
        <v>0</v>
      </c>
      <c r="L5" s="71">
        <f t="shared" si="0"/>
        <v>0</v>
      </c>
      <c r="M5" s="71">
        <f t="shared" si="0"/>
        <v>0</v>
      </c>
      <c r="N5" s="71">
        <f t="shared" si="0"/>
        <v>0</v>
      </c>
      <c r="O5" s="71"/>
      <c r="P5" s="71">
        <f t="shared" si="0"/>
        <v>0</v>
      </c>
      <c r="Q5" s="71">
        <f t="shared" si="0"/>
        <v>0</v>
      </c>
      <c r="R5" s="71">
        <f>R3+R4</f>
        <v>0</v>
      </c>
      <c r="S5" s="71">
        <f>S3+S4</f>
        <v>0</v>
      </c>
      <c r="T5" s="71">
        <f>T3+T4</f>
        <v>0</v>
      </c>
      <c r="U5" s="71">
        <f t="shared" si="0"/>
        <v>8054267.609999999</v>
      </c>
      <c r="V5" s="72">
        <f>U5</f>
        <v>8054267.609999999</v>
      </c>
    </row>
    <row r="6" spans="1:21" ht="21.75" customHeight="1">
      <c r="A6" s="69">
        <v>22</v>
      </c>
      <c r="B6" s="70">
        <v>166052.44</v>
      </c>
      <c r="C6" s="70">
        <v>70128.96</v>
      </c>
      <c r="D6" s="70">
        <f>11195.58+11195.58+11195.58+12459.92+11195.58+11195.58+26850.62</f>
        <v>95288.43999999999</v>
      </c>
      <c r="E6" s="70">
        <f>112167.86+102321.86+125503.59+133702.59+107340.52+128323.37+140185.7</f>
        <v>849545.49</v>
      </c>
      <c r="F6" s="70">
        <f>8403.12+8403.12+12604.68+9667.46+8403.12+12604.68+8403.12</f>
        <v>68489.3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>
        <f>G6+H6+I6+J6+K6+L6+N6+Q6+S6+F6+E6+D6+C6+B6</f>
        <v>1249504.63</v>
      </c>
    </row>
    <row r="7" spans="1:21" ht="21.75" customHeight="1">
      <c r="A7" s="69">
        <v>5.1</v>
      </c>
      <c r="B7" s="70">
        <v>38493.97</v>
      </c>
      <c r="C7" s="70">
        <v>16257.17</v>
      </c>
      <c r="D7" s="70">
        <f>2595.34+2595.34+2595.34+2888.43+2595.34+2595.34+6224.46</f>
        <v>22089.59</v>
      </c>
      <c r="E7" s="70">
        <f>26002.56+23720.07+29094+30994.68+24883.49+29747.68+33193.08</f>
        <v>197635.56</v>
      </c>
      <c r="F7" s="70">
        <f>1948+1947.99+2922+2241.09+1948+2921.99+1948</f>
        <v>15877.07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>
        <f>G7+H7+I7+J7+K7+L7+N7+Q7+S7+F7+E7+D7+C7+B7</f>
        <v>290353.36</v>
      </c>
    </row>
    <row r="8" spans="1:21" ht="21.75" customHeight="1">
      <c r="A8" s="69">
        <v>2.9</v>
      </c>
      <c r="B8" s="70">
        <v>21888.73</v>
      </c>
      <c r="C8" s="70">
        <v>9244.27</v>
      </c>
      <c r="D8" s="70">
        <f>1475.78+1475.78+1475.78+1642.45+1475.78+1475.78+3539.4</f>
        <v>12560.75</v>
      </c>
      <c r="E8" s="70">
        <f>14785.77+13487.86+16543.68+17624.44+14149.42+16915.38+18874.46</f>
        <v>112381.01000000001</v>
      </c>
      <c r="F8" s="70">
        <f>1107.68+1107.69+1661.52+1274.35+1107.69+1661.52+1107.69</f>
        <v>9028.140000000001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>
        <f>G8+H8+I8+J8+K8+L8+N8+Q8+S8+F8+E8+D8+C8+B8</f>
        <v>165102.90000000002</v>
      </c>
    </row>
    <row r="9" spans="1:21" ht="21.75" customHeight="1">
      <c r="A9" s="69">
        <v>0.2</v>
      </c>
      <c r="B9" s="70">
        <v>1509.57</v>
      </c>
      <c r="C9" s="70">
        <v>637.54</v>
      </c>
      <c r="D9" s="70">
        <f>101.78+101.78+101.77+113.28+101.77+101.78+244.1</f>
        <v>866.26</v>
      </c>
      <c r="E9" s="70">
        <f>1019.72+930.18+1140.95+1215.48+975.79+1166.6+1301.68</f>
        <v>7750.4</v>
      </c>
      <c r="F9" s="70">
        <f>76.39+76.39+114.59+87.89+76.39+114.59+76.39</f>
        <v>622.63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>
        <f>G9+H9+I9+J9+K9+L9+N9+Q9+S9+F9+E9+D9+C9+B9</f>
        <v>11386.399999999998</v>
      </c>
    </row>
    <row r="10" spans="1:22" ht="21.75" customHeight="1">
      <c r="A10" s="69" t="s">
        <v>221</v>
      </c>
      <c r="B10" s="71">
        <f>B6+B7+B8+B9</f>
        <v>227944.71000000002</v>
      </c>
      <c r="C10" s="71">
        <f aca="true" t="shared" si="1" ref="C10:U10">C6+C7+C8+C9</f>
        <v>96267.94</v>
      </c>
      <c r="D10" s="71">
        <f t="shared" si="1"/>
        <v>130805.03999999998</v>
      </c>
      <c r="E10" s="71">
        <f t="shared" si="1"/>
        <v>1167312.46</v>
      </c>
      <c r="F10" s="71">
        <f t="shared" si="1"/>
        <v>94017.14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/>
      <c r="P10" s="71">
        <f t="shared" si="1"/>
        <v>0</v>
      </c>
      <c r="Q10" s="71">
        <f t="shared" si="1"/>
        <v>0</v>
      </c>
      <c r="R10" s="71">
        <f>R6+R7+R8+R9</f>
        <v>0</v>
      </c>
      <c r="S10" s="71">
        <f>S6+S7+S8+S9</f>
        <v>0</v>
      </c>
      <c r="T10" s="71">
        <f>T6+T7+T8+T9</f>
        <v>0</v>
      </c>
      <c r="U10" s="71">
        <f t="shared" si="1"/>
        <v>1716347.2899999996</v>
      </c>
      <c r="V10" s="72">
        <f>U10</f>
        <v>1716347.2899999996</v>
      </c>
    </row>
    <row r="11" spans="1:22" ht="24.75" customHeight="1">
      <c r="A11" s="69" t="s">
        <v>305</v>
      </c>
      <c r="B11" s="69"/>
      <c r="C11" s="69"/>
      <c r="D11" s="69"/>
      <c r="E11" s="69"/>
      <c r="F11" s="69"/>
      <c r="G11" s="70">
        <f>8709.01+8421.48+70.99+8172+52.75+8767.98+41.38+151.51+8391.78+156.77+8716.13+3500+3000</f>
        <v>58151.77999999999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>
        <f>G11+H11+I11+J11+K11+N11+Q11+T11+S11+R11+P11+M11+L11+F11+E11+D11+C11+B11</f>
        <v>58151.77999999999</v>
      </c>
      <c r="V11" s="72">
        <f>U11+U12</f>
        <v>106151.78</v>
      </c>
    </row>
    <row r="12" spans="1:21" ht="35.25" customHeight="1">
      <c r="A12" s="66" t="s">
        <v>306</v>
      </c>
      <c r="B12" s="66"/>
      <c r="C12" s="66"/>
      <c r="D12" s="66"/>
      <c r="E12" s="66"/>
      <c r="F12" s="66"/>
      <c r="G12" s="70">
        <f>8000+8000+8000+8000+8000+8000</f>
        <v>48000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>
        <f aca="true" t="shared" si="2" ref="U12:U50">G12+H12+I12+J12+K12+N12+Q12+T12+S12+R12+P12+M12+L12+F12+E12+D12+C12+B12</f>
        <v>48000</v>
      </c>
    </row>
    <row r="13" spans="1:22" ht="38.25" customHeight="1">
      <c r="A13" s="66" t="s">
        <v>307</v>
      </c>
      <c r="B13" s="66"/>
      <c r="C13" s="66"/>
      <c r="D13" s="66"/>
      <c r="E13" s="66"/>
      <c r="F13" s="66"/>
      <c r="G13" s="70"/>
      <c r="H13" s="70"/>
      <c r="I13" s="70">
        <f>23416.48+14850.5+375660.17+495603.2+562955.82+414705.22+14866.63+750683.88+520270.64+320759.71+14659.03+296423.61+414160.35</f>
        <v>4219015.239999999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>
        <f t="shared" si="2"/>
        <v>4219015.239999999</v>
      </c>
      <c r="V13" s="72">
        <f>U13</f>
        <v>4219015.239999999</v>
      </c>
    </row>
    <row r="14" spans="1:22" ht="38.25" customHeight="1">
      <c r="A14" s="66" t="s">
        <v>337</v>
      </c>
      <c r="B14" s="66"/>
      <c r="C14" s="66"/>
      <c r="D14" s="66"/>
      <c r="E14" s="66"/>
      <c r="F14" s="66"/>
      <c r="G14" s="70"/>
      <c r="H14" s="70"/>
      <c r="I14" s="70">
        <f>193612.66+183422.52+172033.54+160644.56+974.06+974.06+974.06+974.06</f>
        <v>713609.5200000003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>
        <f t="shared" si="2"/>
        <v>713609.5200000003</v>
      </c>
      <c r="V14" s="72"/>
    </row>
    <row r="15" spans="1:21" ht="21" customHeight="1">
      <c r="A15" s="66" t="s">
        <v>308</v>
      </c>
      <c r="B15" s="66"/>
      <c r="C15" s="66"/>
      <c r="D15" s="66"/>
      <c r="E15" s="66"/>
      <c r="F15" s="66"/>
      <c r="G15" s="70">
        <f>3970+11000+1700</f>
        <v>16670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>
        <f t="shared" si="2"/>
        <v>16670</v>
      </c>
    </row>
    <row r="16" spans="1:22" ht="36" customHeight="1">
      <c r="A16" s="66" t="s">
        <v>309</v>
      </c>
      <c r="B16" s="66"/>
      <c r="C16" s="66"/>
      <c r="D16" s="66"/>
      <c r="E16" s="66"/>
      <c r="F16" s="66"/>
      <c r="G16" s="70">
        <f>105672+28285.5+1800</f>
        <v>135757.5</v>
      </c>
      <c r="H16" s="70"/>
      <c r="I16" s="70">
        <f>463406.32+2048566+3647208.8+866171+200000+280000+287390.4+440000+455230+409894.4+530000+530000+630000+630000+402152.4+580410+354033.6+192267.6+571348.8+647131.2+414730.4+560000+560000+1154912.4+633622.8+458701.2+570000+570000</f>
        <v>19087177.32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>
        <f t="shared" si="2"/>
        <v>19222934.82</v>
      </c>
      <c r="V16" s="72">
        <f>U15+U16+U14</f>
        <v>19953214.34</v>
      </c>
    </row>
    <row r="17" spans="1:21" ht="38.25" customHeight="1">
      <c r="A17" s="66" t="s">
        <v>310</v>
      </c>
      <c r="B17" s="66"/>
      <c r="C17" s="66"/>
      <c r="D17" s="66"/>
      <c r="E17" s="66"/>
      <c r="F17" s="66"/>
      <c r="G17" s="70">
        <f>3000+8228+3000+8720+2200+49300+12000+8720+3000+75059+8720+3000+3000+8720+3000+8720+12000+8720+3000+8720+3000</f>
        <v>243827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>
        <f t="shared" si="2"/>
        <v>243827</v>
      </c>
    </row>
    <row r="18" spans="1:21" ht="41.25" customHeight="1">
      <c r="A18" s="66" t="s">
        <v>311</v>
      </c>
      <c r="B18" s="66"/>
      <c r="C18" s="66"/>
      <c r="D18" s="66"/>
      <c r="E18" s="66"/>
      <c r="F18" s="66"/>
      <c r="G18" s="70">
        <f>1845.16</f>
        <v>1845.16</v>
      </c>
      <c r="H18" s="70"/>
      <c r="I18" s="70"/>
      <c r="J18" s="70"/>
      <c r="K18" s="70"/>
      <c r="L18" s="70"/>
      <c r="M18" s="70"/>
      <c r="N18" s="70"/>
      <c r="O18" s="70"/>
      <c r="P18" s="70"/>
      <c r="Q18" s="70">
        <v>22000</v>
      </c>
      <c r="R18" s="70"/>
      <c r="S18" s="70"/>
      <c r="T18" s="70"/>
      <c r="U18" s="71">
        <f t="shared" si="2"/>
        <v>23845.16</v>
      </c>
    </row>
    <row r="19" spans="1:22" ht="18" customHeight="1">
      <c r="A19" s="66" t="s">
        <v>312</v>
      </c>
      <c r="B19" s="66"/>
      <c r="C19" s="66"/>
      <c r="D19" s="66"/>
      <c r="E19" s="66"/>
      <c r="F19" s="66"/>
      <c r="G19" s="70">
        <f>24300+6300+7300+21000+12200+7300+6000+38000+6000+8800+5000+111800+8300</f>
        <v>262300</v>
      </c>
      <c r="H19" s="70">
        <f>1738700+5000+40224+98000</f>
        <v>1881924</v>
      </c>
      <c r="I19" s="70"/>
      <c r="J19" s="70">
        <f>30000</f>
        <v>30000</v>
      </c>
      <c r="K19" s="70">
        <f>63000+17000</f>
        <v>80000</v>
      </c>
      <c r="L19" s="70">
        <f>35000+15000</f>
        <v>50000</v>
      </c>
      <c r="M19" s="70"/>
      <c r="N19" s="70">
        <f>10000+15000+14500+10000</f>
        <v>49500</v>
      </c>
      <c r="O19" s="70">
        <v>15000</v>
      </c>
      <c r="P19" s="70"/>
      <c r="Q19" s="70">
        <v>20000</v>
      </c>
      <c r="R19" s="70"/>
      <c r="S19" s="70">
        <v>18000</v>
      </c>
      <c r="T19" s="70"/>
      <c r="U19" s="71">
        <f>G19+H19+I19+J19+K19+N19+Q19+T19+S19+R19+P19+M19+L19+F19+E19+D19+C19+B19+O19</f>
        <v>2406724</v>
      </c>
      <c r="V19" s="72">
        <f>U17+U18+U19</f>
        <v>2674396.16</v>
      </c>
    </row>
    <row r="20" spans="1:21" ht="18" customHeight="1" hidden="1">
      <c r="A20" s="66">
        <v>262</v>
      </c>
      <c r="B20" s="66"/>
      <c r="C20" s="66"/>
      <c r="D20" s="66"/>
      <c r="E20" s="66"/>
      <c r="F20" s="66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>
        <f t="shared" si="2"/>
        <v>0</v>
      </c>
    </row>
    <row r="21" spans="1:21" ht="18" customHeight="1" hidden="1">
      <c r="A21" s="66">
        <v>263</v>
      </c>
      <c r="B21" s="66"/>
      <c r="C21" s="66"/>
      <c r="D21" s="66"/>
      <c r="E21" s="66"/>
      <c r="F21" s="66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 t="shared" si="2"/>
        <v>0</v>
      </c>
    </row>
    <row r="22" spans="1:22" ht="18" customHeight="1">
      <c r="A22" s="66" t="s">
        <v>336</v>
      </c>
      <c r="B22" s="66"/>
      <c r="C22" s="66"/>
      <c r="D22" s="66"/>
      <c r="E22" s="66"/>
      <c r="F22" s="66"/>
      <c r="G22" s="70">
        <v>3631.16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 t="shared" si="2"/>
        <v>3631.16</v>
      </c>
      <c r="V22" s="72">
        <f>U22</f>
        <v>3631.16</v>
      </c>
    </row>
    <row r="23" spans="1:21" ht="18" customHeight="1">
      <c r="A23" s="66" t="s">
        <v>313</v>
      </c>
      <c r="B23" s="66"/>
      <c r="C23" s="66"/>
      <c r="D23" s="66"/>
      <c r="E23" s="66"/>
      <c r="F23" s="66"/>
      <c r="G23" s="70"/>
      <c r="H23" s="70"/>
      <c r="I23" s="70">
        <f>395768+1393401.85+1142155.04+907899.75+17569+43430+268692+1035498.52+308394+83190+1124655.73+8850.2+337367.2+276104.3+686788+1074466.35+9635</f>
        <v>9113864.940000001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>
        <f t="shared" si="2"/>
        <v>9113864.940000001</v>
      </c>
    </row>
    <row r="24" spans="1:22" ht="18" customHeight="1">
      <c r="A24" s="66" t="s">
        <v>313</v>
      </c>
      <c r="B24" s="66"/>
      <c r="C24" s="66"/>
      <c r="D24" s="66"/>
      <c r="E24" s="66"/>
      <c r="F24" s="66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>
        <f t="shared" si="2"/>
        <v>0</v>
      </c>
      <c r="V24" s="72">
        <f>U23+U24</f>
        <v>9113864.940000001</v>
      </c>
    </row>
    <row r="25" spans="1:22" ht="18" customHeight="1">
      <c r="A25" s="66" t="s">
        <v>314</v>
      </c>
      <c r="B25" s="66"/>
      <c r="C25" s="66"/>
      <c r="D25" s="66"/>
      <c r="E25" s="66"/>
      <c r="F25" s="66"/>
      <c r="G25" s="70"/>
      <c r="H25" s="70"/>
      <c r="I25" s="70">
        <f>37750</f>
        <v>37750</v>
      </c>
      <c r="J25" s="70"/>
      <c r="K25" s="70"/>
      <c r="L25" s="70"/>
      <c r="M25" s="70"/>
      <c r="N25" s="70"/>
      <c r="O25" s="70"/>
      <c r="P25" s="70"/>
      <c r="Q25" s="70"/>
      <c r="R25" s="70"/>
      <c r="S25" s="70">
        <f>135945.29+159786.07+143181.07+16000+144312.07+16000+16000+129105.07+158374.41</f>
        <v>918703.9800000001</v>
      </c>
      <c r="T25" s="70"/>
      <c r="U25" s="71">
        <f t="shared" si="2"/>
        <v>956453.9800000001</v>
      </c>
      <c r="V25" s="72">
        <f>U25</f>
        <v>956453.9800000001</v>
      </c>
    </row>
    <row r="26" spans="1:22" ht="18" customHeight="1">
      <c r="A26" s="66" t="s">
        <v>315</v>
      </c>
      <c r="B26" s="66"/>
      <c r="C26" s="66"/>
      <c r="D26" s="66"/>
      <c r="E26" s="66"/>
      <c r="F26" s="66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>
        <f t="shared" si="2"/>
        <v>0</v>
      </c>
      <c r="V26" s="72">
        <f>U26</f>
        <v>0</v>
      </c>
    </row>
    <row r="27" spans="1:22" ht="18" customHeight="1">
      <c r="A27" s="66" t="s">
        <v>316</v>
      </c>
      <c r="B27" s="66"/>
      <c r="C27" s="66"/>
      <c r="D27" s="66"/>
      <c r="E27" s="66"/>
      <c r="F27" s="66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>
        <f>162000+30000+274000+158000+467000+70000+200000+319000+10000+122000</f>
        <v>1812000</v>
      </c>
      <c r="R27" s="70"/>
      <c r="S27" s="70"/>
      <c r="T27" s="70"/>
      <c r="U27" s="71">
        <f t="shared" si="2"/>
        <v>1812000</v>
      </c>
      <c r="V27" s="72">
        <f>U27</f>
        <v>1812000</v>
      </c>
    </row>
    <row r="28" spans="1:22" ht="18" customHeight="1">
      <c r="A28" s="66" t="s">
        <v>317</v>
      </c>
      <c r="B28" s="66"/>
      <c r="C28" s="66"/>
      <c r="D28" s="66"/>
      <c r="E28" s="66"/>
      <c r="F28" s="66"/>
      <c r="G28" s="70"/>
      <c r="H28" s="70"/>
      <c r="I28" s="70"/>
      <c r="J28" s="70"/>
      <c r="K28" s="70"/>
      <c r="L28" s="70"/>
      <c r="M28" s="70"/>
      <c r="N28" s="70"/>
      <c r="O28" s="70"/>
      <c r="P28" s="70">
        <f>67848.16+67848.16+135696.32+67848.16+67848.16</f>
        <v>407088.9600000001</v>
      </c>
      <c r="Q28" s="70"/>
      <c r="R28" s="70"/>
      <c r="S28" s="70"/>
      <c r="T28" s="70"/>
      <c r="U28" s="71">
        <f t="shared" si="2"/>
        <v>407088.9600000001</v>
      </c>
      <c r="V28" s="72">
        <f>U28</f>
        <v>407088.9600000001</v>
      </c>
    </row>
    <row r="29" spans="1:22" ht="24" customHeight="1">
      <c r="A29" s="66">
        <v>290</v>
      </c>
      <c r="B29" s="66"/>
      <c r="C29" s="66"/>
      <c r="D29" s="66"/>
      <c r="E29" s="66"/>
      <c r="F29" s="66"/>
      <c r="G29" s="73"/>
      <c r="H29" s="73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>
        <f t="shared" si="2"/>
        <v>0</v>
      </c>
      <c r="V29" s="72">
        <f>U29</f>
        <v>0</v>
      </c>
    </row>
    <row r="30" spans="1:21" ht="36.75" customHeight="1">
      <c r="A30" s="66" t="s">
        <v>318</v>
      </c>
      <c r="B30" s="66"/>
      <c r="C30" s="66"/>
      <c r="D30" s="66"/>
      <c r="E30" s="66"/>
      <c r="F30" s="66"/>
      <c r="G30" s="73">
        <v>24432</v>
      </c>
      <c r="H30" s="73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>
        <f t="shared" si="2"/>
        <v>24432</v>
      </c>
    </row>
    <row r="31" spans="1:21" ht="34.5" customHeight="1">
      <c r="A31" s="66" t="s">
        <v>319</v>
      </c>
      <c r="B31" s="66"/>
      <c r="C31" s="66"/>
      <c r="D31" s="66"/>
      <c r="E31" s="66"/>
      <c r="F31" s="66"/>
      <c r="G31" s="73">
        <f>5170+222172</f>
        <v>227342</v>
      </c>
      <c r="H31" s="7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>
        <f t="shared" si="2"/>
        <v>227342</v>
      </c>
    </row>
    <row r="32" spans="1:22" ht="21.75" customHeight="1">
      <c r="A32" s="66" t="s">
        <v>320</v>
      </c>
      <c r="B32" s="66"/>
      <c r="C32" s="66"/>
      <c r="D32" s="66"/>
      <c r="E32" s="66"/>
      <c r="F32" s="66"/>
      <c r="G32" s="73">
        <f>5149</f>
        <v>5149</v>
      </c>
      <c r="H32" s="73"/>
      <c r="I32" s="70">
        <f>82000+467475+13045+5305</f>
        <v>567825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>
        <f t="shared" si="2"/>
        <v>572974</v>
      </c>
      <c r="V32" s="72">
        <f>U30+U31+U32</f>
        <v>824748</v>
      </c>
    </row>
    <row r="33" spans="1:21" ht="21" customHeight="1">
      <c r="A33" s="66" t="s">
        <v>321</v>
      </c>
      <c r="B33" s="66"/>
      <c r="C33" s="66"/>
      <c r="D33" s="66"/>
      <c r="E33" s="66"/>
      <c r="F33" s="66"/>
      <c r="G33" s="73">
        <f>14793.26+36365.79+39444.69+46297.5+46013.41+45289.67</f>
        <v>228204.32</v>
      </c>
      <c r="H33" s="73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>
        <f t="shared" si="2"/>
        <v>228204.32</v>
      </c>
    </row>
    <row r="34" spans="1:21" ht="18" customHeight="1">
      <c r="A34" s="66" t="s">
        <v>322</v>
      </c>
      <c r="B34" s="66"/>
      <c r="C34" s="66"/>
      <c r="D34" s="66"/>
      <c r="E34" s="66"/>
      <c r="F34" s="66"/>
      <c r="G34" s="73">
        <f>25354.84+2000+7000+4050+9000+170+130+2100</f>
        <v>49804.84</v>
      </c>
      <c r="H34" s="73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>
        <f t="shared" si="2"/>
        <v>49804.84</v>
      </c>
    </row>
    <row r="35" spans="1:22" ht="33" customHeight="1">
      <c r="A35" s="66" t="s">
        <v>323</v>
      </c>
      <c r="B35" s="66"/>
      <c r="C35" s="66"/>
      <c r="D35" s="66"/>
      <c r="E35" s="66"/>
      <c r="F35" s="66"/>
      <c r="G35" s="73">
        <f>4200+30000+770+8250+600+7730+600+580+6000+700+570+6400+4800+40000+900+74750+23895+1000+23985</f>
        <v>235730</v>
      </c>
      <c r="H35" s="7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>
        <f t="shared" si="2"/>
        <v>235730</v>
      </c>
      <c r="V35" s="72">
        <f>U33+U34+U35</f>
        <v>513739.16000000003</v>
      </c>
    </row>
    <row r="36" spans="1:21" ht="18" customHeight="1">
      <c r="A36" s="66" t="s">
        <v>369</v>
      </c>
      <c r="B36" s="66"/>
      <c r="C36" s="66"/>
      <c r="D36" s="66"/>
      <c r="E36" s="66"/>
      <c r="F36" s="66"/>
      <c r="G36" s="73">
        <v>58595</v>
      </c>
      <c r="H36" s="73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1">
        <f t="shared" si="2"/>
        <v>58595</v>
      </c>
    </row>
    <row r="37" spans="1:21" ht="18" customHeight="1" hidden="1">
      <c r="A37" s="66"/>
      <c r="B37" s="66"/>
      <c r="C37" s="66"/>
      <c r="D37" s="66"/>
      <c r="E37" s="66"/>
      <c r="F37" s="66"/>
      <c r="G37" s="73"/>
      <c r="H37" s="73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>
        <f t="shared" si="2"/>
        <v>0</v>
      </c>
    </row>
    <row r="38" spans="1:21" ht="18" customHeight="1" hidden="1">
      <c r="A38" s="66"/>
      <c r="B38" s="66"/>
      <c r="C38" s="66"/>
      <c r="D38" s="66"/>
      <c r="E38" s="66"/>
      <c r="F38" s="66"/>
      <c r="G38" s="73"/>
      <c r="H38" s="73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>
        <f t="shared" si="2"/>
        <v>0</v>
      </c>
    </row>
    <row r="39" spans="1:21" ht="18" customHeight="1" hidden="1">
      <c r="A39" s="66"/>
      <c r="B39" s="66"/>
      <c r="C39" s="66"/>
      <c r="D39" s="66"/>
      <c r="E39" s="66"/>
      <c r="F39" s="66"/>
      <c r="G39" s="73"/>
      <c r="H39" s="73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>
        <f t="shared" si="2"/>
        <v>0</v>
      </c>
    </row>
    <row r="40" spans="1:21" ht="18" customHeight="1" hidden="1">
      <c r="A40" s="66"/>
      <c r="B40" s="66"/>
      <c r="C40" s="66"/>
      <c r="D40" s="66"/>
      <c r="E40" s="66"/>
      <c r="F40" s="66"/>
      <c r="G40" s="73"/>
      <c r="H40" s="7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>
        <f t="shared" si="2"/>
        <v>0</v>
      </c>
    </row>
    <row r="41" spans="1:21" ht="18" customHeight="1" hidden="1">
      <c r="A41" s="66"/>
      <c r="B41" s="66"/>
      <c r="C41" s="66"/>
      <c r="D41" s="66"/>
      <c r="E41" s="66"/>
      <c r="F41" s="66"/>
      <c r="G41" s="73"/>
      <c r="H41" s="73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>
        <f t="shared" si="2"/>
        <v>0</v>
      </c>
    </row>
    <row r="42" spans="1:21" ht="18" customHeight="1" hidden="1">
      <c r="A42" s="66"/>
      <c r="B42" s="66"/>
      <c r="C42" s="66"/>
      <c r="D42" s="66"/>
      <c r="E42" s="66"/>
      <c r="F42" s="66"/>
      <c r="G42" s="73"/>
      <c r="H42" s="73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1">
        <f t="shared" si="2"/>
        <v>0</v>
      </c>
    </row>
    <row r="43" spans="1:21" ht="18" customHeight="1" hidden="1">
      <c r="A43" s="66"/>
      <c r="B43" s="66"/>
      <c r="C43" s="66"/>
      <c r="D43" s="66"/>
      <c r="E43" s="66"/>
      <c r="F43" s="66"/>
      <c r="G43" s="73"/>
      <c r="H43" s="73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>
        <f t="shared" si="2"/>
        <v>0</v>
      </c>
    </row>
    <row r="44" spans="1:21" ht="18" customHeight="1" hidden="1">
      <c r="A44" s="66"/>
      <c r="B44" s="66"/>
      <c r="C44" s="66"/>
      <c r="D44" s="66"/>
      <c r="E44" s="66"/>
      <c r="F44" s="66"/>
      <c r="G44" s="73"/>
      <c r="H44" s="73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>
        <f t="shared" si="2"/>
        <v>0</v>
      </c>
    </row>
    <row r="45" spans="1:21" ht="18" customHeight="1" hidden="1">
      <c r="A45" s="66"/>
      <c r="B45" s="66"/>
      <c r="C45" s="66"/>
      <c r="D45" s="66"/>
      <c r="E45" s="66"/>
      <c r="F45" s="66"/>
      <c r="G45" s="73"/>
      <c r="H45" s="73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>
        <f t="shared" si="2"/>
        <v>0</v>
      </c>
    </row>
    <row r="46" spans="1:21" ht="18" customHeight="1">
      <c r="A46" s="66" t="s">
        <v>370</v>
      </c>
      <c r="B46" s="66"/>
      <c r="C46" s="66"/>
      <c r="D46" s="66"/>
      <c r="E46" s="66"/>
      <c r="F46" s="66"/>
      <c r="G46" s="73">
        <v>1835</v>
      </c>
      <c r="H46" s="73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>
        <f t="shared" si="2"/>
        <v>1835</v>
      </c>
    </row>
    <row r="47" spans="1:22" ht="18" customHeight="1">
      <c r="A47" s="66" t="s">
        <v>371</v>
      </c>
      <c r="B47" s="66"/>
      <c r="C47" s="66"/>
      <c r="D47" s="66"/>
      <c r="E47" s="66"/>
      <c r="F47" s="66"/>
      <c r="G47" s="73">
        <v>10000</v>
      </c>
      <c r="H47" s="73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>
        <f t="shared" si="2"/>
        <v>10000</v>
      </c>
      <c r="V47" s="72">
        <f>U36+U46+U47</f>
        <v>70430</v>
      </c>
    </row>
    <row r="48" spans="1:21" ht="18" customHeight="1">
      <c r="A48" s="66"/>
      <c r="B48" s="66"/>
      <c r="C48" s="66"/>
      <c r="D48" s="66"/>
      <c r="E48" s="66"/>
      <c r="F48" s="66"/>
      <c r="G48" s="73"/>
      <c r="H48" s="73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1">
        <f t="shared" si="2"/>
        <v>0</v>
      </c>
    </row>
    <row r="49" spans="1:21" ht="18" customHeight="1">
      <c r="A49" s="66"/>
      <c r="B49" s="66"/>
      <c r="C49" s="66"/>
      <c r="D49" s="66"/>
      <c r="E49" s="66"/>
      <c r="F49" s="66"/>
      <c r="G49" s="73"/>
      <c r="H49" s="73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>
        <f t="shared" si="2"/>
        <v>0</v>
      </c>
    </row>
    <row r="50" spans="1:21" ht="18" customHeight="1">
      <c r="A50" s="66"/>
      <c r="B50" s="66"/>
      <c r="C50" s="66"/>
      <c r="D50" s="66"/>
      <c r="E50" s="66"/>
      <c r="F50" s="66"/>
      <c r="G50" s="73"/>
      <c r="H50" s="73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>
        <f t="shared" si="2"/>
        <v>0</v>
      </c>
    </row>
    <row r="51" spans="1:22" s="76" customFormat="1" ht="18" customHeight="1">
      <c r="A51" s="74" t="s">
        <v>221</v>
      </c>
      <c r="B51" s="71">
        <f>B5+B10+B11+B12+B13+B15+B16+B17+B18+B19+B29+B30+B31+B32+B33+B34+B35+B23+B24+B25+B26+B27+B28</f>
        <v>982728.51</v>
      </c>
      <c r="C51" s="71">
        <f aca="true" t="shared" si="3" ref="C51:T51">C5+C10+C11+C12+C13+C15+C16+C17+C18+C19+C29+C30+C31+C32+C33+C34+C35+C23+C24+C25+C26+C27+C28</f>
        <v>415035.94</v>
      </c>
      <c r="D51" s="71">
        <f t="shared" si="3"/>
        <v>708997.6799999999</v>
      </c>
      <c r="E51" s="71">
        <f t="shared" si="3"/>
        <v>7059042.82</v>
      </c>
      <c r="F51" s="71">
        <f t="shared" si="3"/>
        <v>604809.95</v>
      </c>
      <c r="G51" s="71">
        <f>G5+G10+G11+G12+G13+G15+G16+G17+G18+G19+G29+G30+G31+G32+G33+G34+G35+G23+G24+G25+G26+G27+G28+G22+G36+G46+G47</f>
        <v>1611274.76</v>
      </c>
      <c r="H51" s="71">
        <f t="shared" si="3"/>
        <v>1881924</v>
      </c>
      <c r="I51" s="71">
        <f>I5+I10+I11+I12+I13+I15+I16+I17+I18+I19+I29+I30+I31+I32+I33+I34+I35+I23+I24+I25+I26+I27+I28+I14</f>
        <v>33739242.02</v>
      </c>
      <c r="J51" s="71">
        <f t="shared" si="3"/>
        <v>30000</v>
      </c>
      <c r="K51" s="71">
        <f t="shared" si="3"/>
        <v>80000</v>
      </c>
      <c r="L51" s="71">
        <f t="shared" si="3"/>
        <v>50000</v>
      </c>
      <c r="M51" s="71">
        <f t="shared" si="3"/>
        <v>0</v>
      </c>
      <c r="N51" s="71">
        <f t="shared" si="3"/>
        <v>49500</v>
      </c>
      <c r="O51" s="71">
        <f t="shared" si="3"/>
        <v>15000</v>
      </c>
      <c r="P51" s="71">
        <f t="shared" si="3"/>
        <v>407088.9600000001</v>
      </c>
      <c r="Q51" s="71">
        <f t="shared" si="3"/>
        <v>1854000</v>
      </c>
      <c r="R51" s="71">
        <f t="shared" si="3"/>
        <v>0</v>
      </c>
      <c r="S51" s="71">
        <f t="shared" si="3"/>
        <v>936703.9800000001</v>
      </c>
      <c r="T51" s="71">
        <f t="shared" si="3"/>
        <v>0</v>
      </c>
      <c r="U51" s="71">
        <f>G51+H51+I51+J51+K51+N51+Q51+T51+S51+R51+P51+M51+L51+F51+E51+D51+C51+B51+O51</f>
        <v>50425348.62</v>
      </c>
      <c r="V51" s="75">
        <f>SUM(V5:V50)</f>
        <v>50425348.61999999</v>
      </c>
    </row>
    <row r="52" ht="18" customHeight="1"/>
    <row r="53" spans="2:9" ht="18" customHeight="1">
      <c r="B53" s="72"/>
      <c r="I53" s="72"/>
    </row>
    <row r="54" ht="18" customHeight="1">
      <c r="U54" s="72"/>
    </row>
    <row r="55" spans="2:13" ht="18" customHeight="1">
      <c r="B55" s="72"/>
      <c r="H55" s="72"/>
      <c r="J55" s="72"/>
      <c r="K55" s="72"/>
      <c r="L55" s="72"/>
      <c r="M55" s="72"/>
    </row>
    <row r="56" ht="18" customHeight="1">
      <c r="I56" s="72"/>
    </row>
    <row r="57" ht="18" customHeight="1">
      <c r="I57" s="72"/>
    </row>
    <row r="58" ht="18" customHeight="1">
      <c r="I58" s="72"/>
    </row>
    <row r="59" ht="18" customHeight="1"/>
    <row r="60" spans="1:3" ht="18" customHeight="1">
      <c r="A60" s="68" t="s">
        <v>324</v>
      </c>
      <c r="C60" s="72">
        <v>3293100</v>
      </c>
    </row>
    <row r="61" spans="1:3" ht="18" customHeight="1">
      <c r="A61" s="68" t="s">
        <v>325</v>
      </c>
      <c r="C61" s="72">
        <v>694950</v>
      </c>
    </row>
    <row r="62" ht="18" customHeight="1"/>
    <row r="63" spans="2:3" ht="18" customHeight="1">
      <c r="B63" s="68">
        <v>211</v>
      </c>
      <c r="C63" s="72">
        <f>U5</f>
        <v>8054267.609999999</v>
      </c>
    </row>
    <row r="64" spans="2:3" ht="18" customHeight="1">
      <c r="B64" s="68">
        <v>213</v>
      </c>
      <c r="C64" s="72">
        <f>U10</f>
        <v>1716347.2899999996</v>
      </c>
    </row>
    <row r="65" spans="2:3" ht="18" customHeight="1">
      <c r="B65" s="68">
        <v>221</v>
      </c>
      <c r="C65" s="72">
        <f>U11+U12</f>
        <v>106151.78</v>
      </c>
    </row>
    <row r="66" spans="2:3" ht="18" customHeight="1">
      <c r="B66" s="68">
        <v>223</v>
      </c>
      <c r="C66" s="72">
        <f>U13</f>
        <v>4219015.239999999</v>
      </c>
    </row>
    <row r="67" spans="2:3" ht="18" customHeight="1">
      <c r="B67" s="68">
        <v>223</v>
      </c>
      <c r="C67" s="72">
        <f>U14</f>
        <v>713609.5200000003</v>
      </c>
    </row>
    <row r="68" spans="2:3" ht="18" customHeight="1">
      <c r="B68" s="68">
        <v>225</v>
      </c>
      <c r="C68" s="72">
        <f>U15+U16</f>
        <v>19239604.82</v>
      </c>
    </row>
    <row r="69" spans="2:3" ht="18" customHeight="1">
      <c r="B69" s="68">
        <v>226</v>
      </c>
      <c r="C69" s="72">
        <f>U17+U18+U19</f>
        <v>2674396.16</v>
      </c>
    </row>
    <row r="70" ht="18" customHeight="1"/>
    <row r="71" spans="2:3" ht="18" customHeight="1">
      <c r="B71" s="68">
        <v>310</v>
      </c>
      <c r="C71" s="72">
        <f>U30+U31+U32</f>
        <v>824748</v>
      </c>
    </row>
    <row r="72" spans="2:3" ht="18" customHeight="1">
      <c r="B72" s="68">
        <v>340</v>
      </c>
      <c r="C72" s="72">
        <f>U33+U34+U35</f>
        <v>513739.16000000003</v>
      </c>
    </row>
    <row r="73" spans="2:3" ht="18" customHeight="1">
      <c r="B73" s="68">
        <v>241</v>
      </c>
      <c r="C73" s="72">
        <f>U23+U24</f>
        <v>9113864.940000001</v>
      </c>
    </row>
    <row r="74" spans="2:3" ht="18" customHeight="1">
      <c r="B74" s="68">
        <v>246</v>
      </c>
      <c r="C74" s="72">
        <f>U25</f>
        <v>956453.9800000001</v>
      </c>
    </row>
    <row r="75" spans="2:3" ht="18" customHeight="1">
      <c r="B75" s="68">
        <v>251</v>
      </c>
      <c r="C75" s="72">
        <f>U26</f>
        <v>0</v>
      </c>
    </row>
    <row r="76" spans="2:3" ht="18" customHeight="1">
      <c r="B76" s="68">
        <v>262</v>
      </c>
      <c r="C76" s="72">
        <f>U27</f>
        <v>1812000</v>
      </c>
    </row>
    <row r="77" spans="2:3" ht="18" customHeight="1">
      <c r="B77" s="68">
        <v>264</v>
      </c>
      <c r="C77" s="72">
        <f>U28</f>
        <v>407088.9600000001</v>
      </c>
    </row>
    <row r="78" spans="2:3" ht="18" customHeight="1">
      <c r="B78" s="68">
        <v>295</v>
      </c>
      <c r="C78" s="72">
        <f>G29-269100</f>
        <v>-269100</v>
      </c>
    </row>
    <row r="79" spans="2:3" ht="18" customHeight="1">
      <c r="B79" s="68">
        <v>297</v>
      </c>
      <c r="C79" s="72">
        <f>J29+K29+L29+N29+Q29+S29+269100</f>
        <v>269100</v>
      </c>
    </row>
    <row r="80" ht="18" customHeight="1">
      <c r="C80" s="72">
        <f>SUM(C63:C79)</f>
        <v>50351287.45999999</v>
      </c>
    </row>
    <row r="81" ht="18" customHeight="1"/>
    <row r="82" ht="18" customHeight="1"/>
    <row r="83" ht="18" customHeight="1">
      <c r="C83" s="72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3">
      <selection activeCell="K10" sqref="K10"/>
    </sheetView>
  </sheetViews>
  <sheetFormatPr defaultColWidth="9.00390625" defaultRowHeight="12.75"/>
  <cols>
    <col min="1" max="1" width="46.25390625" style="4" customWidth="1"/>
    <col min="2" max="2" width="25.25390625" style="13" customWidth="1"/>
    <col min="3" max="3" width="16.00390625" style="3" customWidth="1"/>
    <col min="4" max="4" width="15.25390625" style="3" customWidth="1"/>
    <col min="5" max="5" width="19.375" style="3" customWidth="1"/>
    <col min="6" max="6" width="16.25390625" style="3" customWidth="1"/>
    <col min="7" max="7" width="17.875" style="3" customWidth="1"/>
    <col min="8" max="16384" width="9.125" style="3" customWidth="1"/>
  </cols>
  <sheetData>
    <row r="1" spans="1:6" s="1" customFormat="1" ht="13.5" thickBot="1">
      <c r="A1" s="4"/>
      <c r="B1" s="13"/>
      <c r="C1" s="3"/>
      <c r="D1" s="5"/>
      <c r="E1" s="6"/>
      <c r="F1" s="7"/>
    </row>
    <row r="2" spans="1:7" s="1" customFormat="1" ht="39" customHeight="1">
      <c r="A2" s="50" t="s">
        <v>78</v>
      </c>
      <c r="B2" s="51" t="s">
        <v>79</v>
      </c>
      <c r="C2" s="52" t="s">
        <v>35</v>
      </c>
      <c r="D2" s="53" t="s">
        <v>216</v>
      </c>
      <c r="E2" s="54" t="s">
        <v>217</v>
      </c>
      <c r="F2" s="51" t="s">
        <v>218</v>
      </c>
      <c r="G2" s="63" t="s">
        <v>219</v>
      </c>
    </row>
    <row r="3" spans="1:7" s="1" customFormat="1" ht="12.75">
      <c r="A3" s="26">
        <v>1</v>
      </c>
      <c r="B3" s="20">
        <v>2</v>
      </c>
      <c r="C3" s="21">
        <v>4</v>
      </c>
      <c r="D3" s="8">
        <v>5</v>
      </c>
      <c r="E3" s="8">
        <v>6</v>
      </c>
      <c r="F3" s="57"/>
      <c r="G3" s="48"/>
    </row>
    <row r="4" spans="1:7" s="1" customFormat="1" ht="12" customHeight="1">
      <c r="A4" s="27" t="s">
        <v>80</v>
      </c>
      <c r="B4" s="20" t="s">
        <v>149</v>
      </c>
      <c r="C4" s="16">
        <f>C5+C10+C15+C20+C32</f>
        <v>11104000</v>
      </c>
      <c r="D4" s="16">
        <f>D5+D10+D15+D20+D32</f>
        <v>5266822.84</v>
      </c>
      <c r="E4" s="22">
        <f>C4-D4</f>
        <v>5837177.16</v>
      </c>
      <c r="F4" s="57"/>
      <c r="G4" s="55">
        <f>G5+G10+G15+G20+G32</f>
        <v>9579000</v>
      </c>
    </row>
    <row r="5" spans="1:7" s="1" customFormat="1" ht="40.5" customHeight="1">
      <c r="A5" s="28" t="s">
        <v>81</v>
      </c>
      <c r="B5" s="20" t="s">
        <v>148</v>
      </c>
      <c r="C5" s="16">
        <f>C6</f>
        <v>782000</v>
      </c>
      <c r="D5" s="16">
        <f>D6</f>
        <v>526668.14</v>
      </c>
      <c r="E5" s="22">
        <v>359352</v>
      </c>
      <c r="F5" s="58">
        <f>C5-D5-E5</f>
        <v>-104020.14000000001</v>
      </c>
      <c r="G5" s="55">
        <f>G6</f>
        <v>892000</v>
      </c>
    </row>
    <row r="6" spans="1:7" s="1" customFormat="1" ht="12.75">
      <c r="A6" s="27" t="s">
        <v>36</v>
      </c>
      <c r="B6" s="14" t="s">
        <v>135</v>
      </c>
      <c r="C6" s="16">
        <f>C7</f>
        <v>782000</v>
      </c>
      <c r="D6" s="22">
        <f>D7</f>
        <v>526668.14</v>
      </c>
      <c r="E6" s="22">
        <v>359352</v>
      </c>
      <c r="F6" s="58">
        <f aca="true" t="shared" si="0" ref="F6:F19">C6-D6-E6</f>
        <v>-104020.14000000001</v>
      </c>
      <c r="G6" s="55">
        <f>G7</f>
        <v>892000</v>
      </c>
    </row>
    <row r="7" spans="1:7" s="1" customFormat="1" ht="12.75" customHeight="1">
      <c r="A7" s="29" t="s">
        <v>37</v>
      </c>
      <c r="B7" s="14" t="s">
        <v>135</v>
      </c>
      <c r="C7" s="19">
        <f>C8+C9</f>
        <v>782000</v>
      </c>
      <c r="D7" s="19">
        <f>D8+D9</f>
        <v>526668.14</v>
      </c>
      <c r="E7" s="22">
        <v>359352</v>
      </c>
      <c r="F7" s="58">
        <f t="shared" si="0"/>
        <v>-104020.14000000001</v>
      </c>
      <c r="G7" s="55">
        <f>G8+G9</f>
        <v>892000</v>
      </c>
    </row>
    <row r="8" spans="1:7" s="1" customFormat="1" ht="13.5" customHeight="1">
      <c r="A8" s="33" t="s">
        <v>38</v>
      </c>
      <c r="B8" s="24" t="s">
        <v>134</v>
      </c>
      <c r="C8" s="17">
        <v>600000</v>
      </c>
      <c r="D8" s="23">
        <v>406206.7</v>
      </c>
      <c r="E8" s="47">
        <v>276000</v>
      </c>
      <c r="F8" s="59">
        <f t="shared" si="0"/>
        <v>-82206.70000000001</v>
      </c>
      <c r="G8" s="56">
        <v>685000</v>
      </c>
    </row>
    <row r="9" spans="1:7" s="1" customFormat="1" ht="12.75">
      <c r="A9" s="33" t="s">
        <v>39</v>
      </c>
      <c r="B9" s="24" t="s">
        <v>136</v>
      </c>
      <c r="C9" s="17">
        <v>182000</v>
      </c>
      <c r="D9" s="23">
        <v>120461.44</v>
      </c>
      <c r="E9" s="47">
        <v>83352</v>
      </c>
      <c r="F9" s="59">
        <f t="shared" si="0"/>
        <v>-21813.440000000002</v>
      </c>
      <c r="G9" s="56">
        <v>207000</v>
      </c>
    </row>
    <row r="10" spans="1:7" s="1" customFormat="1" ht="52.5" customHeight="1">
      <c r="A10" s="29" t="s">
        <v>40</v>
      </c>
      <c r="B10" s="14" t="s">
        <v>150</v>
      </c>
      <c r="C10" s="19">
        <f>C11</f>
        <v>580000</v>
      </c>
      <c r="D10" s="18">
        <f>D11</f>
        <v>83121.81</v>
      </c>
      <c r="E10" s="18">
        <v>45044</v>
      </c>
      <c r="F10" s="58">
        <f t="shared" si="0"/>
        <v>451834.19</v>
      </c>
      <c r="G10" s="55">
        <f>G11</f>
        <v>130000</v>
      </c>
    </row>
    <row r="11" spans="1:7" s="1" customFormat="1" ht="21" customHeight="1">
      <c r="A11" s="232" t="s">
        <v>36</v>
      </c>
      <c r="B11" s="14" t="s">
        <v>139</v>
      </c>
      <c r="C11" s="233">
        <f>C13+C14</f>
        <v>580000</v>
      </c>
      <c r="D11" s="233">
        <f>D13+D14</f>
        <v>83121.81</v>
      </c>
      <c r="E11" s="234">
        <v>45044</v>
      </c>
      <c r="F11" s="58">
        <f t="shared" si="0"/>
        <v>451834.19</v>
      </c>
      <c r="G11" s="55">
        <f>G13+G14</f>
        <v>130000</v>
      </c>
    </row>
    <row r="12" spans="1:7" s="1" customFormat="1" ht="12.75" customHeight="1" hidden="1">
      <c r="A12" s="232"/>
      <c r="B12" s="14">
        <v>1037810011121</v>
      </c>
      <c r="C12" s="233"/>
      <c r="D12" s="233"/>
      <c r="E12" s="234"/>
      <c r="F12" s="58">
        <f t="shared" si="0"/>
        <v>0</v>
      </c>
      <c r="G12" s="55"/>
    </row>
    <row r="13" spans="1:7" s="1" customFormat="1" ht="12.75">
      <c r="A13" s="33" t="s">
        <v>38</v>
      </c>
      <c r="B13" s="24" t="s">
        <v>137</v>
      </c>
      <c r="C13" s="17">
        <v>446000</v>
      </c>
      <c r="D13" s="17">
        <v>65296</v>
      </c>
      <c r="E13" s="23">
        <v>32955</v>
      </c>
      <c r="F13" s="59">
        <f t="shared" si="0"/>
        <v>347749</v>
      </c>
      <c r="G13" s="56">
        <v>100000</v>
      </c>
    </row>
    <row r="14" spans="1:7" s="1" customFormat="1" ht="12.75">
      <c r="A14" s="33" t="s">
        <v>39</v>
      </c>
      <c r="B14" s="24" t="s">
        <v>138</v>
      </c>
      <c r="C14" s="17">
        <v>134000</v>
      </c>
      <c r="D14" s="17">
        <v>17825.81</v>
      </c>
      <c r="E14" s="23">
        <v>12089</v>
      </c>
      <c r="F14" s="59">
        <f t="shared" si="0"/>
        <v>104085.19</v>
      </c>
      <c r="G14" s="56">
        <v>30000</v>
      </c>
    </row>
    <row r="15" spans="1:7" s="1" customFormat="1" ht="61.5" customHeight="1">
      <c r="A15" s="29" t="s">
        <v>41</v>
      </c>
      <c r="B15" s="14" t="s">
        <v>147</v>
      </c>
      <c r="C15" s="19">
        <f>C16</f>
        <v>674000</v>
      </c>
      <c r="D15" s="18">
        <f>D16</f>
        <v>479792.41000000003</v>
      </c>
      <c r="E15" s="18">
        <v>331081</v>
      </c>
      <c r="F15" s="58">
        <f t="shared" si="0"/>
        <v>-136873.41000000003</v>
      </c>
      <c r="G15" s="55">
        <f>G16</f>
        <v>814000</v>
      </c>
    </row>
    <row r="16" spans="1:7" s="1" customFormat="1" ht="43.5" customHeight="1">
      <c r="A16" s="29" t="s">
        <v>76</v>
      </c>
      <c r="B16" s="14" t="s">
        <v>140</v>
      </c>
      <c r="C16" s="19">
        <f>C17</f>
        <v>674000</v>
      </c>
      <c r="D16" s="18">
        <f>D17</f>
        <v>479792.41000000003</v>
      </c>
      <c r="E16" s="18">
        <v>331081</v>
      </c>
      <c r="F16" s="58">
        <f t="shared" si="0"/>
        <v>-136873.41000000003</v>
      </c>
      <c r="G16" s="55">
        <f>G17</f>
        <v>814000</v>
      </c>
    </row>
    <row r="17" spans="1:7" s="1" customFormat="1" ht="13.5" customHeight="1">
      <c r="A17" s="29" t="s">
        <v>36</v>
      </c>
      <c r="B17" s="14" t="s">
        <v>140</v>
      </c>
      <c r="C17" s="19">
        <f>C18+C19</f>
        <v>674000</v>
      </c>
      <c r="D17" s="19">
        <f>D18+D19</f>
        <v>479792.41000000003</v>
      </c>
      <c r="E17" s="18">
        <v>331081</v>
      </c>
      <c r="F17" s="58">
        <f t="shared" si="0"/>
        <v>-136873.41000000003</v>
      </c>
      <c r="G17" s="55">
        <f>G18+G19</f>
        <v>814000</v>
      </c>
    </row>
    <row r="18" spans="1:7" s="1" customFormat="1" ht="15" customHeight="1">
      <c r="A18" s="33" t="s">
        <v>38</v>
      </c>
      <c r="B18" s="24" t="s">
        <v>141</v>
      </c>
      <c r="C18" s="17">
        <v>517000</v>
      </c>
      <c r="D18" s="17">
        <v>363892.5</v>
      </c>
      <c r="E18" s="23">
        <v>250300</v>
      </c>
      <c r="F18" s="59">
        <f t="shared" si="0"/>
        <v>-97192.5</v>
      </c>
      <c r="G18" s="56">
        <v>617000</v>
      </c>
    </row>
    <row r="19" spans="1:7" s="1" customFormat="1" ht="16.5" customHeight="1">
      <c r="A19" s="33" t="s">
        <v>39</v>
      </c>
      <c r="B19" s="24" t="s">
        <v>142</v>
      </c>
      <c r="C19" s="17">
        <v>157000</v>
      </c>
      <c r="D19" s="17">
        <v>115899.91</v>
      </c>
      <c r="E19" s="23">
        <v>80781</v>
      </c>
      <c r="F19" s="59">
        <f t="shared" si="0"/>
        <v>-39680.91</v>
      </c>
      <c r="G19" s="56">
        <v>197000</v>
      </c>
    </row>
    <row r="20" spans="1:7" s="1" customFormat="1" ht="21" customHeight="1">
      <c r="A20" s="29" t="s">
        <v>42</v>
      </c>
      <c r="B20" s="14" t="s">
        <v>179</v>
      </c>
      <c r="C20" s="19">
        <f>C21+C24+C27</f>
        <v>8049000</v>
      </c>
      <c r="D20" s="18">
        <f>D24+D21+D27</f>
        <v>4177240.48</v>
      </c>
      <c r="E20" s="18">
        <f aca="true" t="shared" si="1" ref="E20:E36">C20-D20</f>
        <v>3871759.52</v>
      </c>
      <c r="F20" s="57"/>
      <c r="G20" s="55">
        <f>G21+G24+G27</f>
        <v>7249000</v>
      </c>
    </row>
    <row r="21" spans="1:7" s="1" customFormat="1" ht="12.75">
      <c r="A21" s="29" t="s">
        <v>36</v>
      </c>
      <c r="B21" s="14" t="s">
        <v>179</v>
      </c>
      <c r="C21" s="19">
        <f>C22+C23</f>
        <v>5959000</v>
      </c>
      <c r="D21" s="19">
        <f>D22+D23</f>
        <v>2972767.31</v>
      </c>
      <c r="E21" s="18">
        <v>1898054</v>
      </c>
      <c r="F21" s="58">
        <f aca="true" t="shared" si="2" ref="F21:F26">C21-D21-E21</f>
        <v>1088178.69</v>
      </c>
      <c r="G21" s="55">
        <f>G22+G23</f>
        <v>5459000</v>
      </c>
    </row>
    <row r="22" spans="1:7" s="1" customFormat="1" ht="15" customHeight="1">
      <c r="A22" s="33" t="s">
        <v>38</v>
      </c>
      <c r="B22" s="24" t="s">
        <v>180</v>
      </c>
      <c r="C22" s="17">
        <v>4620000</v>
      </c>
      <c r="D22" s="17">
        <v>2355365.97</v>
      </c>
      <c r="E22" s="23">
        <v>1771647</v>
      </c>
      <c r="F22" s="59">
        <f t="shared" si="2"/>
        <v>492987.0299999998</v>
      </c>
      <c r="G22" s="56">
        <v>4170000</v>
      </c>
    </row>
    <row r="23" spans="1:7" s="1" customFormat="1" ht="16.5" customHeight="1">
      <c r="A23" s="33" t="s">
        <v>39</v>
      </c>
      <c r="B23" s="24" t="s">
        <v>181</v>
      </c>
      <c r="C23" s="17">
        <v>1339000</v>
      </c>
      <c r="D23" s="17">
        <v>617401.34</v>
      </c>
      <c r="E23" s="23">
        <v>647200</v>
      </c>
      <c r="F23" s="59">
        <f t="shared" si="2"/>
        <v>74398.66000000003</v>
      </c>
      <c r="G23" s="56">
        <v>1289000</v>
      </c>
    </row>
    <row r="24" spans="1:7" s="1" customFormat="1" ht="38.25">
      <c r="A24" s="29" t="s">
        <v>121</v>
      </c>
      <c r="B24" s="14" t="s">
        <v>143</v>
      </c>
      <c r="C24" s="19">
        <f>C25</f>
        <v>1950000</v>
      </c>
      <c r="D24" s="18">
        <f>D25</f>
        <v>1097508</v>
      </c>
      <c r="E24" s="18">
        <v>550000</v>
      </c>
      <c r="F24" s="58">
        <f t="shared" si="2"/>
        <v>302492</v>
      </c>
      <c r="G24" s="55">
        <f>G25</f>
        <v>1650000</v>
      </c>
    </row>
    <row r="25" spans="1:7" s="39" customFormat="1" ht="42.75" customHeight="1">
      <c r="A25" s="37" t="s">
        <v>122</v>
      </c>
      <c r="B25" s="38" t="s">
        <v>144</v>
      </c>
      <c r="C25" s="40">
        <f>C26</f>
        <v>1950000</v>
      </c>
      <c r="D25" s="41">
        <f>D26</f>
        <v>1097508</v>
      </c>
      <c r="E25" s="41">
        <v>550000</v>
      </c>
      <c r="F25" s="58">
        <f t="shared" si="2"/>
        <v>302492</v>
      </c>
      <c r="G25" s="64">
        <f>G26</f>
        <v>1650000</v>
      </c>
    </row>
    <row r="26" spans="1:7" ht="39.75" customHeight="1">
      <c r="A26" s="33" t="s">
        <v>123</v>
      </c>
      <c r="B26" s="24" t="s">
        <v>145</v>
      </c>
      <c r="C26" s="17">
        <v>1950000</v>
      </c>
      <c r="D26" s="23">
        <v>1097508</v>
      </c>
      <c r="E26" s="23">
        <v>550000</v>
      </c>
      <c r="F26" s="59">
        <f t="shared" si="2"/>
        <v>302492</v>
      </c>
      <c r="G26" s="56">
        <v>1650000</v>
      </c>
    </row>
    <row r="27" spans="1:7" s="1" customFormat="1" ht="27.75" customHeight="1">
      <c r="A27" s="29" t="s">
        <v>124</v>
      </c>
      <c r="B27" s="14" t="s">
        <v>146</v>
      </c>
      <c r="C27" s="19">
        <f>C28</f>
        <v>140000</v>
      </c>
      <c r="D27" s="19">
        <f>D28</f>
        <v>106965.17</v>
      </c>
      <c r="E27" s="18">
        <f t="shared" si="1"/>
        <v>33034.83</v>
      </c>
      <c r="F27" s="57"/>
      <c r="G27" s="55">
        <f>G28</f>
        <v>140000</v>
      </c>
    </row>
    <row r="28" spans="1:7" s="39" customFormat="1" ht="18" customHeight="1">
      <c r="A28" s="37" t="s">
        <v>125</v>
      </c>
      <c r="B28" s="38" t="s">
        <v>151</v>
      </c>
      <c r="C28" s="40">
        <f>C29+C30+C31</f>
        <v>140000</v>
      </c>
      <c r="D28" s="40">
        <f>D29+D30+D31</f>
        <v>106965.17</v>
      </c>
      <c r="E28" s="41">
        <f t="shared" si="1"/>
        <v>33034.83</v>
      </c>
      <c r="F28" s="60"/>
      <c r="G28" s="64">
        <f>G29+G30+G31</f>
        <v>140000</v>
      </c>
    </row>
    <row r="29" spans="1:7" s="1" customFormat="1" ht="18" customHeight="1">
      <c r="A29" s="33" t="s">
        <v>43</v>
      </c>
      <c r="B29" s="24" t="s">
        <v>152</v>
      </c>
      <c r="C29" s="17">
        <v>50000</v>
      </c>
      <c r="D29" s="17">
        <v>39481</v>
      </c>
      <c r="E29" s="23">
        <f t="shared" si="1"/>
        <v>10519</v>
      </c>
      <c r="F29" s="57"/>
      <c r="G29" s="56">
        <v>50000</v>
      </c>
    </row>
    <row r="30" spans="1:7" s="1" customFormat="1" ht="18" customHeight="1">
      <c r="A30" s="33" t="s">
        <v>44</v>
      </c>
      <c r="B30" s="24" t="s">
        <v>153</v>
      </c>
      <c r="C30" s="17">
        <v>35000</v>
      </c>
      <c r="D30" s="17">
        <v>34293</v>
      </c>
      <c r="E30" s="23">
        <f t="shared" si="1"/>
        <v>707</v>
      </c>
      <c r="F30" s="57"/>
      <c r="G30" s="56">
        <v>35000</v>
      </c>
    </row>
    <row r="31" spans="1:7" s="1" customFormat="1" ht="18" customHeight="1">
      <c r="A31" s="42" t="s">
        <v>186</v>
      </c>
      <c r="B31" s="24" t="s">
        <v>187</v>
      </c>
      <c r="C31" s="17">
        <v>55000</v>
      </c>
      <c r="D31" s="17">
        <v>33191.17</v>
      </c>
      <c r="E31" s="23">
        <f t="shared" si="1"/>
        <v>21808.83</v>
      </c>
      <c r="F31" s="57"/>
      <c r="G31" s="56">
        <v>55000</v>
      </c>
    </row>
    <row r="32" spans="1:7" s="1" customFormat="1" ht="16.5" customHeight="1">
      <c r="A32" s="29" t="s">
        <v>45</v>
      </c>
      <c r="B32" s="14" t="s">
        <v>154</v>
      </c>
      <c r="C32" s="19">
        <f>C33</f>
        <v>1019000</v>
      </c>
      <c r="D32" s="18">
        <f>D33</f>
        <v>0</v>
      </c>
      <c r="E32" s="18">
        <v>994000</v>
      </c>
      <c r="F32" s="58">
        <v>994000</v>
      </c>
      <c r="G32" s="55">
        <v>494000</v>
      </c>
    </row>
    <row r="33" spans="1:7" ht="16.5" customHeight="1">
      <c r="A33" s="33" t="s">
        <v>86</v>
      </c>
      <c r="B33" s="24" t="s">
        <v>155</v>
      </c>
      <c r="C33" s="17">
        <v>1019000</v>
      </c>
      <c r="D33" s="23">
        <v>0</v>
      </c>
      <c r="E33" s="23">
        <v>994000</v>
      </c>
      <c r="F33" s="59">
        <v>994000</v>
      </c>
      <c r="G33" s="56">
        <v>494000</v>
      </c>
    </row>
    <row r="34" spans="1:7" s="1" customFormat="1" ht="16.5" customHeight="1">
      <c r="A34" s="29" t="s">
        <v>189</v>
      </c>
      <c r="B34" s="14" t="s">
        <v>188</v>
      </c>
      <c r="C34" s="19">
        <f>C35+C41+C44</f>
        <v>55796000</v>
      </c>
      <c r="D34" s="18">
        <f>D35+D41+D44</f>
        <v>33100722.44</v>
      </c>
      <c r="E34" s="18">
        <f t="shared" si="1"/>
        <v>22695277.56</v>
      </c>
      <c r="F34" s="57"/>
      <c r="G34" s="55">
        <f>G35+G41+G44</f>
        <v>57046000</v>
      </c>
    </row>
    <row r="35" spans="1:7" s="1" customFormat="1" ht="19.5" customHeight="1">
      <c r="A35" s="29" t="s">
        <v>126</v>
      </c>
      <c r="B35" s="14" t="s">
        <v>156</v>
      </c>
      <c r="C35" s="19">
        <f>C36</f>
        <v>46945000</v>
      </c>
      <c r="D35" s="18">
        <f>D36</f>
        <v>29350622</v>
      </c>
      <c r="E35" s="18">
        <f t="shared" si="1"/>
        <v>17594378</v>
      </c>
      <c r="F35" s="57"/>
      <c r="G35" s="55">
        <f>G36</f>
        <v>48695000</v>
      </c>
    </row>
    <row r="36" spans="1:7" s="39" customFormat="1" ht="57.75" customHeight="1">
      <c r="A36" s="235" t="s">
        <v>46</v>
      </c>
      <c r="B36" s="230" t="s">
        <v>157</v>
      </c>
      <c r="C36" s="231">
        <v>46945000</v>
      </c>
      <c r="D36" s="231">
        <v>29350622</v>
      </c>
      <c r="E36" s="229">
        <f t="shared" si="1"/>
        <v>17594378</v>
      </c>
      <c r="F36" s="60"/>
      <c r="G36" s="64">
        <v>48695000</v>
      </c>
    </row>
    <row r="37" spans="1:7" s="1" customFormat="1" ht="12.75" customHeight="1" hidden="1">
      <c r="A37" s="235"/>
      <c r="B37" s="230"/>
      <c r="C37" s="231"/>
      <c r="D37" s="231"/>
      <c r="E37" s="229"/>
      <c r="F37" s="57"/>
      <c r="G37" s="55"/>
    </row>
    <row r="38" spans="1:7" s="1" customFormat="1" ht="12.75" customHeight="1" hidden="1">
      <c r="A38" s="235"/>
      <c r="B38" s="230"/>
      <c r="C38" s="231"/>
      <c r="D38" s="231"/>
      <c r="E38" s="229"/>
      <c r="F38" s="57"/>
      <c r="G38" s="55"/>
    </row>
    <row r="39" spans="1:7" s="1" customFormat="1" ht="12.75" customHeight="1" hidden="1">
      <c r="A39" s="235"/>
      <c r="B39" s="230"/>
      <c r="C39" s="231"/>
      <c r="D39" s="231"/>
      <c r="E39" s="229"/>
      <c r="F39" s="57"/>
      <c r="G39" s="55"/>
    </row>
    <row r="40" spans="1:7" s="1" customFormat="1" ht="12.75" customHeight="1" hidden="1">
      <c r="A40" s="235"/>
      <c r="B40" s="230"/>
      <c r="C40" s="231"/>
      <c r="D40" s="231"/>
      <c r="E40" s="229"/>
      <c r="F40" s="57"/>
      <c r="G40" s="55"/>
    </row>
    <row r="41" spans="1:7" s="1" customFormat="1" ht="37.5" customHeight="1">
      <c r="A41" s="29" t="s">
        <v>121</v>
      </c>
      <c r="B41" s="14" t="s">
        <v>158</v>
      </c>
      <c r="C41" s="19">
        <f>C42</f>
        <v>8811000</v>
      </c>
      <c r="D41" s="19">
        <f>D42</f>
        <v>3710100.44</v>
      </c>
      <c r="E41" s="18">
        <v>4000000</v>
      </c>
      <c r="F41" s="58">
        <f>C41-D41-E41</f>
        <v>1100899.5600000005</v>
      </c>
      <c r="G41" s="55">
        <f>G42</f>
        <v>8311000</v>
      </c>
    </row>
    <row r="42" spans="1:7" s="39" customFormat="1" ht="38.25" customHeight="1">
      <c r="A42" s="37" t="s">
        <v>122</v>
      </c>
      <c r="B42" s="38" t="s">
        <v>159</v>
      </c>
      <c r="C42" s="40">
        <f>C43</f>
        <v>8811000</v>
      </c>
      <c r="D42" s="40">
        <f>D43</f>
        <v>3710100.44</v>
      </c>
      <c r="E42" s="18">
        <v>4000000</v>
      </c>
      <c r="F42" s="58">
        <f>C42-D42-E42</f>
        <v>1100899.5600000005</v>
      </c>
      <c r="G42" s="64">
        <f>G43</f>
        <v>8311000</v>
      </c>
    </row>
    <row r="43" spans="1:7" s="1" customFormat="1" ht="39.75" customHeight="1">
      <c r="A43" s="33" t="s">
        <v>123</v>
      </c>
      <c r="B43" s="24" t="s">
        <v>160</v>
      </c>
      <c r="C43" s="17">
        <v>8811000</v>
      </c>
      <c r="D43" s="17">
        <v>3710100.44</v>
      </c>
      <c r="E43" s="23">
        <v>4000000</v>
      </c>
      <c r="F43" s="59">
        <f>C43-D43-E43</f>
        <v>1100899.5600000005</v>
      </c>
      <c r="G43" s="56">
        <v>8311000</v>
      </c>
    </row>
    <row r="44" spans="1:7" s="1" customFormat="1" ht="27.75" customHeight="1">
      <c r="A44" s="33" t="s">
        <v>206</v>
      </c>
      <c r="B44" s="24" t="s">
        <v>207</v>
      </c>
      <c r="C44" s="17">
        <v>40000</v>
      </c>
      <c r="D44" s="17">
        <v>40000</v>
      </c>
      <c r="E44" s="23">
        <f aca="true" t="shared" si="3" ref="E44:E50">C44-D44</f>
        <v>0</v>
      </c>
      <c r="F44" s="57"/>
      <c r="G44" s="56">
        <v>40000</v>
      </c>
    </row>
    <row r="45" spans="1:7" s="1" customFormat="1" ht="21" customHeight="1">
      <c r="A45" s="29" t="s">
        <v>199</v>
      </c>
      <c r="B45" s="14" t="s">
        <v>203</v>
      </c>
      <c r="C45" s="19">
        <f>C46</f>
        <v>33000</v>
      </c>
      <c r="D45" s="19">
        <f>D46</f>
        <v>33000</v>
      </c>
      <c r="E45" s="18">
        <f t="shared" si="3"/>
        <v>0</v>
      </c>
      <c r="F45" s="57"/>
      <c r="G45" s="55">
        <v>33000</v>
      </c>
    </row>
    <row r="46" spans="1:7" s="1" customFormat="1" ht="19.5" customHeight="1">
      <c r="A46" s="29" t="s">
        <v>200</v>
      </c>
      <c r="B46" s="14" t="s">
        <v>202</v>
      </c>
      <c r="C46" s="19">
        <f>C47</f>
        <v>33000</v>
      </c>
      <c r="D46" s="19">
        <f>D47</f>
        <v>33000</v>
      </c>
      <c r="E46" s="18">
        <f t="shared" si="3"/>
        <v>0</v>
      </c>
      <c r="F46" s="57"/>
      <c r="G46" s="55">
        <v>33000</v>
      </c>
    </row>
    <row r="47" spans="1:7" s="1" customFormat="1" ht="27.75" customHeight="1">
      <c r="A47" s="33" t="s">
        <v>201</v>
      </c>
      <c r="B47" s="24" t="s">
        <v>204</v>
      </c>
      <c r="C47" s="17">
        <v>33000</v>
      </c>
      <c r="D47" s="17">
        <v>33000</v>
      </c>
      <c r="E47" s="23">
        <f t="shared" si="3"/>
        <v>0</v>
      </c>
      <c r="F47" s="57"/>
      <c r="G47" s="56">
        <v>33000</v>
      </c>
    </row>
    <row r="48" spans="1:7" s="1" customFormat="1" ht="19.5" customHeight="1">
      <c r="A48" s="29" t="s">
        <v>194</v>
      </c>
      <c r="B48" s="14" t="s">
        <v>195</v>
      </c>
      <c r="C48" s="19">
        <f>C49+C52</f>
        <v>880000</v>
      </c>
      <c r="D48" s="19">
        <f>D49+D52</f>
        <v>511399</v>
      </c>
      <c r="E48" s="18">
        <f t="shared" si="3"/>
        <v>368601</v>
      </c>
      <c r="F48" s="57"/>
      <c r="G48" s="55">
        <v>1070000</v>
      </c>
    </row>
    <row r="49" spans="1:7" s="1" customFormat="1" ht="29.25" customHeight="1">
      <c r="A49" s="29" t="s">
        <v>193</v>
      </c>
      <c r="B49" s="14" t="s">
        <v>161</v>
      </c>
      <c r="C49" s="19">
        <f>C50</f>
        <v>580000</v>
      </c>
      <c r="D49" s="19">
        <f>D50</f>
        <v>511399</v>
      </c>
      <c r="E49" s="18">
        <f t="shared" si="3"/>
        <v>68601</v>
      </c>
      <c r="F49" s="57"/>
      <c r="G49" s="55">
        <f>G50</f>
        <v>770000</v>
      </c>
    </row>
    <row r="50" spans="1:7" s="39" customFormat="1" ht="56.25" customHeight="1">
      <c r="A50" s="235" t="s">
        <v>46</v>
      </c>
      <c r="B50" s="230" t="s">
        <v>162</v>
      </c>
      <c r="C50" s="231">
        <v>580000</v>
      </c>
      <c r="D50" s="231">
        <v>511399</v>
      </c>
      <c r="E50" s="229">
        <f t="shared" si="3"/>
        <v>68601</v>
      </c>
      <c r="F50" s="60"/>
      <c r="G50" s="64">
        <v>770000</v>
      </c>
    </row>
    <row r="51" spans="1:7" s="1" customFormat="1" ht="12.75" customHeight="1" hidden="1">
      <c r="A51" s="235"/>
      <c r="B51" s="230"/>
      <c r="C51" s="231"/>
      <c r="D51" s="231"/>
      <c r="E51" s="229"/>
      <c r="F51" s="57"/>
      <c r="G51" s="55"/>
    </row>
    <row r="52" spans="1:7" s="1" customFormat="1" ht="38.25">
      <c r="A52" s="29" t="s">
        <v>121</v>
      </c>
      <c r="B52" s="14" t="s">
        <v>163</v>
      </c>
      <c r="C52" s="19">
        <f>C53</f>
        <v>300000</v>
      </c>
      <c r="D52" s="19">
        <f>D53</f>
        <v>0</v>
      </c>
      <c r="E52" s="18">
        <f>C52-D52</f>
        <v>300000</v>
      </c>
      <c r="F52" s="57"/>
      <c r="G52" s="55">
        <v>300000</v>
      </c>
    </row>
    <row r="53" spans="1:7" s="39" customFormat="1" ht="39" customHeight="1">
      <c r="A53" s="37" t="s">
        <v>122</v>
      </c>
      <c r="B53" s="38" t="s">
        <v>164</v>
      </c>
      <c r="C53" s="40">
        <f>C54</f>
        <v>300000</v>
      </c>
      <c r="D53" s="40">
        <f>D54</f>
        <v>0</v>
      </c>
      <c r="E53" s="18">
        <f>C53-D53</f>
        <v>300000</v>
      </c>
      <c r="F53" s="60"/>
      <c r="G53" s="64">
        <v>300000</v>
      </c>
    </row>
    <row r="54" spans="1:7" ht="40.5" customHeight="1">
      <c r="A54" s="33" t="s">
        <v>123</v>
      </c>
      <c r="B54" s="24" t="s">
        <v>165</v>
      </c>
      <c r="C54" s="17">
        <v>300000</v>
      </c>
      <c r="D54" s="17">
        <v>0</v>
      </c>
      <c r="E54" s="23">
        <f>C54-D54</f>
        <v>300000</v>
      </c>
      <c r="F54" s="61"/>
      <c r="G54" s="56">
        <v>300000</v>
      </c>
    </row>
    <row r="55" spans="1:7" ht="24" customHeight="1">
      <c r="A55" s="29" t="s">
        <v>208</v>
      </c>
      <c r="B55" s="14" t="s">
        <v>210</v>
      </c>
      <c r="C55" s="19">
        <v>5000</v>
      </c>
      <c r="D55" s="19">
        <v>5000</v>
      </c>
      <c r="E55" s="18">
        <v>0</v>
      </c>
      <c r="F55" s="61"/>
      <c r="G55" s="55">
        <v>5000</v>
      </c>
    </row>
    <row r="56" spans="1:7" ht="25.5" customHeight="1">
      <c r="A56" s="29" t="s">
        <v>209</v>
      </c>
      <c r="B56" s="14" t="s">
        <v>211</v>
      </c>
      <c r="C56" s="19">
        <v>5000</v>
      </c>
      <c r="D56" s="19">
        <v>5000</v>
      </c>
      <c r="E56" s="18">
        <v>0</v>
      </c>
      <c r="F56" s="61"/>
      <c r="G56" s="55">
        <v>5000</v>
      </c>
    </row>
    <row r="57" spans="1:7" ht="24.75" customHeight="1">
      <c r="A57" s="33" t="s">
        <v>213</v>
      </c>
      <c r="B57" s="24" t="s">
        <v>212</v>
      </c>
      <c r="C57" s="17">
        <v>5000</v>
      </c>
      <c r="D57" s="17">
        <v>5000</v>
      </c>
      <c r="E57" s="18">
        <v>0</v>
      </c>
      <c r="F57" s="61"/>
      <c r="G57" s="56">
        <v>5000</v>
      </c>
    </row>
    <row r="58" spans="1:7" ht="21" customHeight="1">
      <c r="A58" s="29" t="s">
        <v>192</v>
      </c>
      <c r="B58" s="14" t="s">
        <v>196</v>
      </c>
      <c r="C58" s="19">
        <f>C59+C62+C65</f>
        <v>1096500</v>
      </c>
      <c r="D58" s="19">
        <f>D59+D62+D65</f>
        <v>675694.02</v>
      </c>
      <c r="E58" s="18">
        <f aca="true" t="shared" si="4" ref="E58:E77">C58-D58</f>
        <v>420805.98</v>
      </c>
      <c r="F58" s="61"/>
      <c r="G58" s="55">
        <f>G59+G62+G65</f>
        <v>1121500</v>
      </c>
    </row>
    <row r="59" spans="1:7" s="1" customFormat="1" ht="25.5" customHeight="1">
      <c r="A59" s="29" t="s">
        <v>127</v>
      </c>
      <c r="B59" s="14" t="s">
        <v>166</v>
      </c>
      <c r="C59" s="19">
        <f>C60</f>
        <v>740000</v>
      </c>
      <c r="D59" s="19">
        <f>D60</f>
        <v>395329.62</v>
      </c>
      <c r="E59" s="18">
        <f t="shared" si="4"/>
        <v>344670.38</v>
      </c>
      <c r="F59" s="57"/>
      <c r="G59" s="55">
        <v>740000</v>
      </c>
    </row>
    <row r="60" spans="1:7" s="39" customFormat="1" ht="27.75" customHeight="1">
      <c r="A60" s="37" t="s">
        <v>128</v>
      </c>
      <c r="B60" s="38" t="s">
        <v>167</v>
      </c>
      <c r="C60" s="40">
        <f>C61</f>
        <v>740000</v>
      </c>
      <c r="D60" s="40">
        <f>D61</f>
        <v>395329.62</v>
      </c>
      <c r="E60" s="41">
        <f t="shared" si="4"/>
        <v>344670.38</v>
      </c>
      <c r="F60" s="60"/>
      <c r="G60" s="64">
        <v>740000</v>
      </c>
    </row>
    <row r="61" spans="1:7" s="1" customFormat="1" ht="18" customHeight="1">
      <c r="A61" s="33" t="s">
        <v>47</v>
      </c>
      <c r="B61" s="24" t="s">
        <v>182</v>
      </c>
      <c r="C61" s="17">
        <v>740000</v>
      </c>
      <c r="D61" s="17">
        <v>395329.62</v>
      </c>
      <c r="E61" s="23">
        <f t="shared" si="4"/>
        <v>344670.38</v>
      </c>
      <c r="F61" s="57"/>
      <c r="G61" s="56">
        <v>740000</v>
      </c>
    </row>
    <row r="62" spans="1:7" s="1" customFormat="1" ht="25.5" customHeight="1">
      <c r="A62" s="29" t="s">
        <v>129</v>
      </c>
      <c r="B62" s="14" t="s">
        <v>168</v>
      </c>
      <c r="C62" s="19">
        <f>C64+C63</f>
        <v>230000</v>
      </c>
      <c r="D62" s="19">
        <f>D64+D63</f>
        <v>153864.4</v>
      </c>
      <c r="E62" s="18">
        <f t="shared" si="4"/>
        <v>76135.6</v>
      </c>
      <c r="F62" s="57"/>
      <c r="G62" s="55">
        <v>230000</v>
      </c>
    </row>
    <row r="63" spans="1:7" s="1" customFormat="1" ht="25.5" customHeight="1">
      <c r="A63" s="33" t="s">
        <v>215</v>
      </c>
      <c r="B63" s="24" t="s">
        <v>214</v>
      </c>
      <c r="C63" s="17">
        <v>15000</v>
      </c>
      <c r="D63" s="17">
        <v>14864.4</v>
      </c>
      <c r="E63" s="23">
        <f t="shared" si="4"/>
        <v>135.60000000000036</v>
      </c>
      <c r="F63" s="57"/>
      <c r="G63" s="56">
        <v>15000</v>
      </c>
    </row>
    <row r="64" spans="1:7" s="1" customFormat="1" ht="26.25" customHeight="1">
      <c r="A64" s="33" t="s">
        <v>130</v>
      </c>
      <c r="B64" s="24" t="s">
        <v>169</v>
      </c>
      <c r="C64" s="17">
        <v>215000</v>
      </c>
      <c r="D64" s="17">
        <v>139000</v>
      </c>
      <c r="E64" s="23">
        <f t="shared" si="4"/>
        <v>76000</v>
      </c>
      <c r="F64" s="57"/>
      <c r="G64" s="56">
        <v>215000</v>
      </c>
    </row>
    <row r="65" spans="1:7" s="1" customFormat="1" ht="26.25" customHeight="1">
      <c r="A65" s="29" t="s">
        <v>129</v>
      </c>
      <c r="B65" s="14" t="s">
        <v>170</v>
      </c>
      <c r="C65" s="19">
        <f>C66+C67</f>
        <v>126500</v>
      </c>
      <c r="D65" s="19">
        <f>D66+D67</f>
        <v>126500</v>
      </c>
      <c r="E65" s="18">
        <f t="shared" si="4"/>
        <v>0</v>
      </c>
      <c r="F65" s="57"/>
      <c r="G65" s="55">
        <v>151500</v>
      </c>
    </row>
    <row r="66" spans="1:7" s="1" customFormat="1" ht="25.5">
      <c r="A66" s="33" t="s">
        <v>131</v>
      </c>
      <c r="B66" s="24" t="s">
        <v>171</v>
      </c>
      <c r="C66" s="17">
        <v>123500</v>
      </c>
      <c r="D66" s="17">
        <v>123500</v>
      </c>
      <c r="E66" s="23">
        <f t="shared" si="4"/>
        <v>0</v>
      </c>
      <c r="F66" s="57"/>
      <c r="G66" s="56">
        <v>148500</v>
      </c>
    </row>
    <row r="67" spans="1:7" s="1" customFormat="1" ht="25.5">
      <c r="A67" s="33" t="s">
        <v>197</v>
      </c>
      <c r="B67" s="24" t="s">
        <v>198</v>
      </c>
      <c r="C67" s="17">
        <v>3000</v>
      </c>
      <c r="D67" s="17">
        <v>3000</v>
      </c>
      <c r="E67" s="23">
        <f t="shared" si="4"/>
        <v>0</v>
      </c>
      <c r="F67" s="57"/>
      <c r="G67" s="56">
        <v>3000</v>
      </c>
    </row>
    <row r="68" spans="1:7" s="1" customFormat="1" ht="15.75" customHeight="1">
      <c r="A68" s="29" t="s">
        <v>190</v>
      </c>
      <c r="B68" s="14" t="s">
        <v>191</v>
      </c>
      <c r="C68" s="19">
        <f>C69+C74</f>
        <v>876500</v>
      </c>
      <c r="D68" s="19">
        <f>D69+D74</f>
        <v>400047</v>
      </c>
      <c r="E68" s="18">
        <f t="shared" si="4"/>
        <v>476453</v>
      </c>
      <c r="F68" s="57"/>
      <c r="G68" s="55">
        <f>G69+G74</f>
        <v>686500</v>
      </c>
    </row>
    <row r="69" spans="1:7" s="1" customFormat="1" ht="27.75" customHeight="1">
      <c r="A69" s="29" t="s">
        <v>132</v>
      </c>
      <c r="B69" s="14" t="s">
        <v>172</v>
      </c>
      <c r="C69" s="19">
        <f>C70</f>
        <v>176500</v>
      </c>
      <c r="D69" s="19">
        <f>D70</f>
        <v>76500</v>
      </c>
      <c r="E69" s="18">
        <f t="shared" si="4"/>
        <v>100000</v>
      </c>
      <c r="F69" s="57"/>
      <c r="G69" s="55">
        <f>G70</f>
        <v>176500</v>
      </c>
    </row>
    <row r="70" spans="1:7" s="1" customFormat="1" ht="40.5" customHeight="1">
      <c r="A70" s="29" t="s">
        <v>121</v>
      </c>
      <c r="B70" s="14" t="s">
        <v>173</v>
      </c>
      <c r="C70" s="19">
        <f>C71</f>
        <v>176500</v>
      </c>
      <c r="D70" s="19">
        <f>D71</f>
        <v>76500</v>
      </c>
      <c r="E70" s="18">
        <f t="shared" si="4"/>
        <v>100000</v>
      </c>
      <c r="F70" s="57"/>
      <c r="G70" s="55">
        <f>G71</f>
        <v>176500</v>
      </c>
    </row>
    <row r="71" spans="1:7" s="39" customFormat="1" ht="39" customHeight="1">
      <c r="A71" s="37" t="s">
        <v>122</v>
      </c>
      <c r="B71" s="38" t="s">
        <v>174</v>
      </c>
      <c r="C71" s="40">
        <f>C72+C73</f>
        <v>176500</v>
      </c>
      <c r="D71" s="41">
        <f>D72+D73</f>
        <v>76500</v>
      </c>
      <c r="E71" s="41">
        <f t="shared" si="4"/>
        <v>100000</v>
      </c>
      <c r="F71" s="60"/>
      <c r="G71" s="64">
        <f>G72+G73</f>
        <v>176500</v>
      </c>
    </row>
    <row r="72" spans="1:7" s="1" customFormat="1" ht="42.75" customHeight="1">
      <c r="A72" s="33" t="s">
        <v>123</v>
      </c>
      <c r="B72" s="24" t="s">
        <v>175</v>
      </c>
      <c r="C72" s="17">
        <v>100000</v>
      </c>
      <c r="D72" s="23">
        <v>0</v>
      </c>
      <c r="E72" s="23">
        <f t="shared" si="4"/>
        <v>100000</v>
      </c>
      <c r="F72" s="57"/>
      <c r="G72" s="56">
        <v>100000</v>
      </c>
    </row>
    <row r="73" spans="1:7" s="1" customFormat="1" ht="30" customHeight="1">
      <c r="A73" s="33" t="s">
        <v>183</v>
      </c>
      <c r="B73" s="24" t="s">
        <v>184</v>
      </c>
      <c r="C73" s="17">
        <v>76500</v>
      </c>
      <c r="D73" s="23">
        <v>76500</v>
      </c>
      <c r="E73" s="23">
        <f t="shared" si="4"/>
        <v>0</v>
      </c>
      <c r="F73" s="57"/>
      <c r="G73" s="56">
        <v>76500</v>
      </c>
    </row>
    <row r="74" spans="1:7" s="39" customFormat="1" ht="52.5" customHeight="1">
      <c r="A74" s="37" t="s">
        <v>48</v>
      </c>
      <c r="B74" s="38" t="s">
        <v>176</v>
      </c>
      <c r="C74" s="40">
        <v>700000</v>
      </c>
      <c r="D74" s="41">
        <v>323547</v>
      </c>
      <c r="E74" s="41">
        <f t="shared" si="4"/>
        <v>376453</v>
      </c>
      <c r="F74" s="60"/>
      <c r="G74" s="64">
        <v>510000</v>
      </c>
    </row>
    <row r="75" spans="1:7" s="1" customFormat="1" ht="33.75" customHeight="1">
      <c r="A75" s="29" t="s">
        <v>133</v>
      </c>
      <c r="B75" s="14" t="s">
        <v>177</v>
      </c>
      <c r="C75" s="19">
        <f>C76</f>
        <v>1500000</v>
      </c>
      <c r="D75" s="18">
        <f>D76</f>
        <v>1140838.66</v>
      </c>
      <c r="E75" s="18">
        <f t="shared" si="4"/>
        <v>359161.3400000001</v>
      </c>
      <c r="F75" s="57"/>
      <c r="G75" s="55">
        <f>G76</f>
        <v>1750000</v>
      </c>
    </row>
    <row r="76" spans="1:7" s="1" customFormat="1" ht="49.5" customHeight="1">
      <c r="A76" s="37" t="s">
        <v>49</v>
      </c>
      <c r="B76" s="38" t="s">
        <v>178</v>
      </c>
      <c r="C76" s="40">
        <v>1500000</v>
      </c>
      <c r="D76" s="41">
        <v>1140838.66</v>
      </c>
      <c r="E76" s="41">
        <f t="shared" si="4"/>
        <v>359161.3400000001</v>
      </c>
      <c r="F76" s="57"/>
      <c r="G76" s="55">
        <v>1750000</v>
      </c>
    </row>
    <row r="77" spans="1:7" s="1" customFormat="1" ht="22.5" customHeight="1" thickBot="1">
      <c r="A77" s="30" t="s">
        <v>50</v>
      </c>
      <c r="B77" s="31"/>
      <c r="C77" s="32">
        <f>C4+C34+C49+C52+C59+C62+C65+C69+C74+C75+C45+C55</f>
        <v>71291000</v>
      </c>
      <c r="D77" s="32">
        <f>D4+D34+D49+D52+D59+D62+D65+D69+D74+D75+D45+D55</f>
        <v>41133523.95999999</v>
      </c>
      <c r="E77" s="49">
        <f t="shared" si="4"/>
        <v>30157476.040000007</v>
      </c>
      <c r="F77" s="62"/>
      <c r="G77" s="65">
        <f>G4+G34+G45+G48+G55+G58+G68+G75</f>
        <v>71291000</v>
      </c>
    </row>
  </sheetData>
  <sheetProtection/>
  <mergeCells count="14">
    <mergeCell ref="D50:D51"/>
    <mergeCell ref="E50:E51"/>
    <mergeCell ref="A50:A51"/>
    <mergeCell ref="B50:B51"/>
    <mergeCell ref="C50:C51"/>
    <mergeCell ref="A36:A40"/>
    <mergeCell ref="E36:E40"/>
    <mergeCell ref="B36:B40"/>
    <mergeCell ref="C36:C40"/>
    <mergeCell ref="D36:D40"/>
    <mergeCell ref="A11:A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60.375" style="77" customWidth="1"/>
    <col min="2" max="2" width="31.75390625" style="78" customWidth="1"/>
    <col min="3" max="3" width="21.75390625" style="12" customWidth="1"/>
    <col min="4" max="4" width="22.375" style="12" customWidth="1"/>
    <col min="5" max="5" width="21.25390625" style="12" customWidth="1"/>
    <col min="6" max="16384" width="9.125" style="12" customWidth="1"/>
  </cols>
  <sheetData>
    <row r="1" spans="1:6" s="9" customFormat="1" ht="15.75" thickBot="1">
      <c r="A1" s="77"/>
      <c r="B1" s="78"/>
      <c r="C1" s="12"/>
      <c r="D1" s="79"/>
      <c r="E1" s="80"/>
      <c r="F1" s="81"/>
    </row>
    <row r="2" spans="1:5" s="9" customFormat="1" ht="57" customHeight="1">
      <c r="A2" s="132" t="s">
        <v>78</v>
      </c>
      <c r="B2" s="133" t="s">
        <v>79</v>
      </c>
      <c r="C2" s="134" t="s">
        <v>35</v>
      </c>
      <c r="D2" s="135" t="s">
        <v>264</v>
      </c>
      <c r="E2" s="136" t="s">
        <v>374</v>
      </c>
    </row>
    <row r="3" spans="1:5" s="9" customFormat="1" ht="20.25" customHeight="1">
      <c r="A3" s="137">
        <v>1</v>
      </c>
      <c r="B3" s="83">
        <v>2</v>
      </c>
      <c r="C3" s="84" t="s">
        <v>335</v>
      </c>
      <c r="D3" s="82">
        <v>4</v>
      </c>
      <c r="E3" s="138">
        <v>5</v>
      </c>
    </row>
    <row r="4" spans="1:5" s="9" customFormat="1" ht="24" customHeight="1">
      <c r="A4" s="139" t="s">
        <v>80</v>
      </c>
      <c r="B4" s="83" t="s">
        <v>149</v>
      </c>
      <c r="C4" s="85">
        <f>C5+C10+C15+C20+C39+C32</f>
        <v>16492000</v>
      </c>
      <c r="D4" s="85">
        <f>D5+D10+D15+D20+D39+D32</f>
        <v>12759380.399999999</v>
      </c>
      <c r="E4" s="140">
        <f aca="true" t="shared" si="0" ref="E4:E11">C4-D4</f>
        <v>3732619.6000000015</v>
      </c>
    </row>
    <row r="5" spans="1:5" s="9" customFormat="1" ht="47.25" customHeight="1">
      <c r="A5" s="141" t="s">
        <v>81</v>
      </c>
      <c r="B5" s="83" t="s">
        <v>148</v>
      </c>
      <c r="C5" s="85">
        <f>C6</f>
        <v>1255000</v>
      </c>
      <c r="D5" s="85">
        <f>D6</f>
        <v>1005544.88</v>
      </c>
      <c r="E5" s="140">
        <f t="shared" si="0"/>
        <v>249455.12</v>
      </c>
    </row>
    <row r="6" spans="1:5" s="9" customFormat="1" ht="25.5" customHeight="1">
      <c r="A6" s="139" t="s">
        <v>36</v>
      </c>
      <c r="B6" s="87" t="s">
        <v>135</v>
      </c>
      <c r="C6" s="85">
        <f>C7</f>
        <v>1255000</v>
      </c>
      <c r="D6" s="86">
        <f>D7</f>
        <v>1005544.88</v>
      </c>
      <c r="E6" s="140">
        <f t="shared" si="0"/>
        <v>249455.12</v>
      </c>
    </row>
    <row r="7" spans="1:5" s="9" customFormat="1" ht="23.25" customHeight="1">
      <c r="A7" s="142" t="s">
        <v>37</v>
      </c>
      <c r="B7" s="87" t="s">
        <v>135</v>
      </c>
      <c r="C7" s="88">
        <f>C8+C9</f>
        <v>1255000</v>
      </c>
      <c r="D7" s="88">
        <f>D8+D9</f>
        <v>1005544.88</v>
      </c>
      <c r="E7" s="140">
        <f t="shared" si="0"/>
        <v>249455.12</v>
      </c>
    </row>
    <row r="8" spans="1:5" s="9" customFormat="1" ht="22.5" customHeight="1">
      <c r="A8" s="143" t="s">
        <v>38</v>
      </c>
      <c r="B8" s="89" t="s">
        <v>134</v>
      </c>
      <c r="C8" s="90">
        <v>965000</v>
      </c>
      <c r="D8" s="91">
        <v>776583.8</v>
      </c>
      <c r="E8" s="144">
        <f t="shared" si="0"/>
        <v>188416.19999999995</v>
      </c>
    </row>
    <row r="9" spans="1:5" s="9" customFormat="1" ht="22.5" customHeight="1">
      <c r="A9" s="143" t="s">
        <v>39</v>
      </c>
      <c r="B9" s="89" t="s">
        <v>136</v>
      </c>
      <c r="C9" s="90">
        <v>290000</v>
      </c>
      <c r="D9" s="91">
        <v>228961.08</v>
      </c>
      <c r="E9" s="144">
        <f t="shared" si="0"/>
        <v>61038.92000000001</v>
      </c>
    </row>
    <row r="10" spans="1:5" s="9" customFormat="1" ht="60" customHeight="1">
      <c r="A10" s="142" t="s">
        <v>40</v>
      </c>
      <c r="B10" s="87" t="s">
        <v>150</v>
      </c>
      <c r="C10" s="88">
        <f>C11</f>
        <v>690000</v>
      </c>
      <c r="D10" s="92">
        <f>D11</f>
        <v>443433.71</v>
      </c>
      <c r="E10" s="145">
        <f t="shared" si="0"/>
        <v>246566.28999999998</v>
      </c>
    </row>
    <row r="11" spans="1:5" s="9" customFormat="1" ht="21" customHeight="1">
      <c r="A11" s="202" t="s">
        <v>36</v>
      </c>
      <c r="B11" s="87" t="s">
        <v>139</v>
      </c>
      <c r="C11" s="203">
        <f>C13+C14</f>
        <v>690000</v>
      </c>
      <c r="D11" s="203">
        <f>D13+D14</f>
        <v>443433.71</v>
      </c>
      <c r="E11" s="204">
        <f t="shared" si="0"/>
        <v>246566.28999999998</v>
      </c>
    </row>
    <row r="12" spans="1:5" s="9" customFormat="1" ht="12.75" customHeight="1" hidden="1">
      <c r="A12" s="202"/>
      <c r="B12" s="87">
        <v>1037810011121</v>
      </c>
      <c r="C12" s="203"/>
      <c r="D12" s="203"/>
      <c r="E12" s="204"/>
    </row>
    <row r="13" spans="1:5" s="9" customFormat="1" ht="19.5" customHeight="1">
      <c r="A13" s="143" t="s">
        <v>38</v>
      </c>
      <c r="B13" s="89" t="s">
        <v>137</v>
      </c>
      <c r="C13" s="90">
        <v>530000</v>
      </c>
      <c r="D13" s="90">
        <v>357368</v>
      </c>
      <c r="E13" s="146">
        <f aca="true" t="shared" si="1" ref="E13:E58">C13-D13</f>
        <v>172632</v>
      </c>
    </row>
    <row r="14" spans="1:5" s="9" customFormat="1" ht="21" customHeight="1">
      <c r="A14" s="143" t="s">
        <v>39</v>
      </c>
      <c r="B14" s="89" t="s">
        <v>138</v>
      </c>
      <c r="C14" s="90">
        <v>160000</v>
      </c>
      <c r="D14" s="90">
        <v>86065.71</v>
      </c>
      <c r="E14" s="146">
        <f t="shared" si="1"/>
        <v>73934.29</v>
      </c>
    </row>
    <row r="15" spans="1:5" s="9" customFormat="1" ht="75.75" customHeight="1">
      <c r="A15" s="142" t="s">
        <v>41</v>
      </c>
      <c r="B15" s="87" t="s">
        <v>147</v>
      </c>
      <c r="C15" s="88">
        <f>C16</f>
        <v>1085000</v>
      </c>
      <c r="D15" s="92">
        <f>D16</f>
        <v>756530.35</v>
      </c>
      <c r="E15" s="145">
        <f t="shared" si="1"/>
        <v>328469.65</v>
      </c>
    </row>
    <row r="16" spans="1:5" s="9" customFormat="1" ht="46.5" customHeight="1">
      <c r="A16" s="142" t="s">
        <v>76</v>
      </c>
      <c r="B16" s="87" t="s">
        <v>140</v>
      </c>
      <c r="C16" s="88">
        <f>C17</f>
        <v>1085000</v>
      </c>
      <c r="D16" s="92">
        <f>D17</f>
        <v>756530.35</v>
      </c>
      <c r="E16" s="145">
        <f t="shared" si="1"/>
        <v>328469.65</v>
      </c>
    </row>
    <row r="17" spans="1:5" s="9" customFormat="1" ht="22.5" customHeight="1">
      <c r="A17" s="142" t="s">
        <v>36</v>
      </c>
      <c r="B17" s="87" t="s">
        <v>140</v>
      </c>
      <c r="C17" s="88">
        <f>C18+C19</f>
        <v>1085000</v>
      </c>
      <c r="D17" s="88">
        <f>D18+D19</f>
        <v>756530.35</v>
      </c>
      <c r="E17" s="145">
        <f t="shared" si="1"/>
        <v>328469.65</v>
      </c>
    </row>
    <row r="18" spans="1:5" s="9" customFormat="1" ht="20.25" customHeight="1">
      <c r="A18" s="143" t="s">
        <v>38</v>
      </c>
      <c r="B18" s="89" t="s">
        <v>141</v>
      </c>
      <c r="C18" s="90">
        <v>835000</v>
      </c>
      <c r="D18" s="90">
        <v>598492.64</v>
      </c>
      <c r="E18" s="146">
        <f t="shared" si="1"/>
        <v>236507.36</v>
      </c>
    </row>
    <row r="19" spans="1:5" s="9" customFormat="1" ht="20.25" customHeight="1">
      <c r="A19" s="143" t="s">
        <v>39</v>
      </c>
      <c r="B19" s="89" t="s">
        <v>142</v>
      </c>
      <c r="C19" s="90">
        <v>250000</v>
      </c>
      <c r="D19" s="90">
        <v>158037.71</v>
      </c>
      <c r="E19" s="146">
        <f t="shared" si="1"/>
        <v>91962.29000000001</v>
      </c>
    </row>
    <row r="20" spans="1:5" s="9" customFormat="1" ht="21" customHeight="1">
      <c r="A20" s="142" t="s">
        <v>42</v>
      </c>
      <c r="B20" s="87" t="s">
        <v>179</v>
      </c>
      <c r="C20" s="88">
        <f>C21+C24+C27</f>
        <v>11990000</v>
      </c>
      <c r="D20" s="92">
        <f>D24+D21+D27</f>
        <v>9882123.459999999</v>
      </c>
      <c r="E20" s="145">
        <f t="shared" si="1"/>
        <v>2107876.540000001</v>
      </c>
    </row>
    <row r="21" spans="1:5" s="9" customFormat="1" ht="19.5" customHeight="1">
      <c r="A21" s="142" t="s">
        <v>36</v>
      </c>
      <c r="B21" s="87" t="s">
        <v>179</v>
      </c>
      <c r="C21" s="88">
        <f>C22+C23</f>
        <v>9760000</v>
      </c>
      <c r="D21" s="88">
        <f>D22+D23</f>
        <v>7792533.76</v>
      </c>
      <c r="E21" s="145">
        <f t="shared" si="1"/>
        <v>1967466.2400000002</v>
      </c>
    </row>
    <row r="22" spans="1:5" s="9" customFormat="1" ht="19.5" customHeight="1">
      <c r="A22" s="143" t="s">
        <v>38</v>
      </c>
      <c r="B22" s="89" t="s">
        <v>180</v>
      </c>
      <c r="C22" s="90">
        <v>7500000</v>
      </c>
      <c r="D22" s="90">
        <v>6084860.36</v>
      </c>
      <c r="E22" s="146">
        <f t="shared" si="1"/>
        <v>1415139.6399999997</v>
      </c>
    </row>
    <row r="23" spans="1:5" s="9" customFormat="1" ht="21" customHeight="1">
      <c r="A23" s="143" t="s">
        <v>39</v>
      </c>
      <c r="B23" s="89" t="s">
        <v>181</v>
      </c>
      <c r="C23" s="90">
        <v>2260000</v>
      </c>
      <c r="D23" s="90">
        <v>1707673.4</v>
      </c>
      <c r="E23" s="146">
        <f t="shared" si="1"/>
        <v>552326.6000000001</v>
      </c>
    </row>
    <row r="24" spans="1:5" s="9" customFormat="1" ht="32.25" customHeight="1">
      <c r="A24" s="142" t="s">
        <v>121</v>
      </c>
      <c r="B24" s="87" t="s">
        <v>143</v>
      </c>
      <c r="C24" s="88">
        <f>C25</f>
        <v>2020000</v>
      </c>
      <c r="D24" s="92">
        <f>D25</f>
        <v>2019159.7</v>
      </c>
      <c r="E24" s="145">
        <f t="shared" si="1"/>
        <v>840.3000000000466</v>
      </c>
    </row>
    <row r="25" spans="1:5" s="96" customFormat="1" ht="33.75" customHeight="1">
      <c r="A25" s="147" t="s">
        <v>122</v>
      </c>
      <c r="B25" s="93" t="s">
        <v>144</v>
      </c>
      <c r="C25" s="94">
        <f>C26</f>
        <v>2020000</v>
      </c>
      <c r="D25" s="95">
        <f>D26</f>
        <v>2019159.7</v>
      </c>
      <c r="E25" s="148">
        <f t="shared" si="1"/>
        <v>840.3000000000466</v>
      </c>
    </row>
    <row r="26" spans="1:5" ht="30" customHeight="1">
      <c r="A26" s="143" t="s">
        <v>123</v>
      </c>
      <c r="B26" s="89" t="s">
        <v>145</v>
      </c>
      <c r="C26" s="90">
        <v>2020000</v>
      </c>
      <c r="D26" s="91">
        <v>2019159.7</v>
      </c>
      <c r="E26" s="146">
        <f t="shared" si="1"/>
        <v>840.3000000000466</v>
      </c>
    </row>
    <row r="27" spans="1:5" s="9" customFormat="1" ht="21.75" customHeight="1">
      <c r="A27" s="142" t="s">
        <v>124</v>
      </c>
      <c r="B27" s="87" t="s">
        <v>146</v>
      </c>
      <c r="C27" s="88">
        <f>C28</f>
        <v>210000</v>
      </c>
      <c r="D27" s="88">
        <f>D28</f>
        <v>70430</v>
      </c>
      <c r="E27" s="145">
        <f t="shared" si="1"/>
        <v>139570</v>
      </c>
    </row>
    <row r="28" spans="1:5" s="96" customFormat="1" ht="21" customHeight="1">
      <c r="A28" s="147" t="s">
        <v>125</v>
      </c>
      <c r="B28" s="93" t="s">
        <v>151</v>
      </c>
      <c r="C28" s="94">
        <f>C29+C30+C31</f>
        <v>210000</v>
      </c>
      <c r="D28" s="94">
        <f>D29+D30+D31</f>
        <v>70430</v>
      </c>
      <c r="E28" s="148">
        <f t="shared" si="1"/>
        <v>139570</v>
      </c>
    </row>
    <row r="29" spans="1:5" s="9" customFormat="1" ht="21.75" customHeight="1">
      <c r="A29" s="143" t="s">
        <v>43</v>
      </c>
      <c r="B29" s="89" t="s">
        <v>152</v>
      </c>
      <c r="C29" s="90">
        <v>69000</v>
      </c>
      <c r="D29" s="90">
        <v>58595</v>
      </c>
      <c r="E29" s="146">
        <f t="shared" si="1"/>
        <v>10405</v>
      </c>
    </row>
    <row r="30" spans="1:5" s="9" customFormat="1" ht="20.25" customHeight="1">
      <c r="A30" s="143" t="s">
        <v>44</v>
      </c>
      <c r="B30" s="89" t="s">
        <v>153</v>
      </c>
      <c r="C30" s="90">
        <v>21000</v>
      </c>
      <c r="D30" s="90">
        <v>1835</v>
      </c>
      <c r="E30" s="146">
        <f t="shared" si="1"/>
        <v>19165</v>
      </c>
    </row>
    <row r="31" spans="1:5" s="9" customFormat="1" ht="21.75" customHeight="1">
      <c r="A31" s="149" t="s">
        <v>347</v>
      </c>
      <c r="B31" s="89" t="s">
        <v>187</v>
      </c>
      <c r="C31" s="90">
        <v>120000</v>
      </c>
      <c r="D31" s="90">
        <v>10000</v>
      </c>
      <c r="E31" s="146">
        <f t="shared" si="1"/>
        <v>110000</v>
      </c>
    </row>
    <row r="32" spans="1:5" s="9" customFormat="1" ht="48.75" customHeight="1">
      <c r="A32" s="150" t="s">
        <v>223</v>
      </c>
      <c r="B32" s="87" t="s">
        <v>224</v>
      </c>
      <c r="C32" s="88">
        <f>C33+C36</f>
        <v>967000</v>
      </c>
      <c r="D32" s="88">
        <f>D33+D36</f>
        <v>671748</v>
      </c>
      <c r="E32" s="145">
        <f t="shared" si="1"/>
        <v>295252</v>
      </c>
    </row>
    <row r="33" spans="1:5" s="9" customFormat="1" ht="20.25" customHeight="1">
      <c r="A33" s="151" t="s">
        <v>36</v>
      </c>
      <c r="B33" s="93" t="s">
        <v>225</v>
      </c>
      <c r="C33" s="94">
        <f>C34+C35</f>
        <v>841000</v>
      </c>
      <c r="D33" s="94">
        <f>D34+D35</f>
        <v>671748</v>
      </c>
      <c r="E33" s="148">
        <f t="shared" si="1"/>
        <v>169252</v>
      </c>
    </row>
    <row r="34" spans="1:5" s="9" customFormat="1" ht="20.25" customHeight="1">
      <c r="A34" s="149" t="s">
        <v>38</v>
      </c>
      <c r="B34" s="89" t="s">
        <v>226</v>
      </c>
      <c r="C34" s="90">
        <v>646000</v>
      </c>
      <c r="D34" s="90">
        <v>525992.81</v>
      </c>
      <c r="E34" s="146">
        <f t="shared" si="1"/>
        <v>120007.18999999994</v>
      </c>
    </row>
    <row r="35" spans="1:5" s="9" customFormat="1" ht="22.5" customHeight="1">
      <c r="A35" s="149" t="s">
        <v>39</v>
      </c>
      <c r="B35" s="89" t="s">
        <v>227</v>
      </c>
      <c r="C35" s="90">
        <v>195000</v>
      </c>
      <c r="D35" s="90">
        <v>145755.19</v>
      </c>
      <c r="E35" s="146">
        <f t="shared" si="1"/>
        <v>49244.81</v>
      </c>
    </row>
    <row r="36" spans="1:5" s="9" customFormat="1" ht="33" customHeight="1">
      <c r="A36" s="142" t="s">
        <v>121</v>
      </c>
      <c r="B36" s="87" t="s">
        <v>228</v>
      </c>
      <c r="C36" s="88">
        <f>C37</f>
        <v>126000</v>
      </c>
      <c r="D36" s="88">
        <f>D37</f>
        <v>0</v>
      </c>
      <c r="E36" s="145">
        <f t="shared" si="1"/>
        <v>126000</v>
      </c>
    </row>
    <row r="37" spans="1:5" s="9" customFormat="1" ht="32.25" customHeight="1">
      <c r="A37" s="147" t="s">
        <v>122</v>
      </c>
      <c r="B37" s="93" t="s">
        <v>229</v>
      </c>
      <c r="C37" s="94">
        <f>C38</f>
        <v>126000</v>
      </c>
      <c r="D37" s="94">
        <f>D38</f>
        <v>0</v>
      </c>
      <c r="E37" s="148">
        <f t="shared" si="1"/>
        <v>126000</v>
      </c>
    </row>
    <row r="38" spans="1:5" s="9" customFormat="1" ht="32.25" customHeight="1">
      <c r="A38" s="143" t="s">
        <v>123</v>
      </c>
      <c r="B38" s="89" t="s">
        <v>230</v>
      </c>
      <c r="C38" s="90">
        <v>126000</v>
      </c>
      <c r="D38" s="90">
        <v>0</v>
      </c>
      <c r="E38" s="146">
        <f t="shared" si="1"/>
        <v>126000</v>
      </c>
    </row>
    <row r="39" spans="1:5" s="9" customFormat="1" ht="21" customHeight="1">
      <c r="A39" s="142" t="s">
        <v>45</v>
      </c>
      <c r="B39" s="87" t="s">
        <v>268</v>
      </c>
      <c r="C39" s="88">
        <f>C40</f>
        <v>505000</v>
      </c>
      <c r="D39" s="92">
        <v>0</v>
      </c>
      <c r="E39" s="145">
        <f t="shared" si="1"/>
        <v>505000</v>
      </c>
    </row>
    <row r="40" spans="1:7" ht="21.75" customHeight="1">
      <c r="A40" s="143" t="s">
        <v>86</v>
      </c>
      <c r="B40" s="89" t="s">
        <v>267</v>
      </c>
      <c r="C40" s="90">
        <v>505000</v>
      </c>
      <c r="D40" s="91">
        <v>0</v>
      </c>
      <c r="E40" s="146">
        <f t="shared" si="1"/>
        <v>505000</v>
      </c>
      <c r="G40" s="12" t="s">
        <v>220</v>
      </c>
    </row>
    <row r="41" spans="1:5" s="9" customFormat="1" ht="21.75" customHeight="1">
      <c r="A41" s="142" t="s">
        <v>250</v>
      </c>
      <c r="B41" s="87" t="s">
        <v>251</v>
      </c>
      <c r="C41" s="88">
        <f>C46+C42</f>
        <v>2590000</v>
      </c>
      <c r="D41" s="88">
        <f>D46+D42</f>
        <v>1881924</v>
      </c>
      <c r="E41" s="145">
        <f t="shared" si="1"/>
        <v>708076</v>
      </c>
    </row>
    <row r="42" spans="1:5" s="9" customFormat="1" ht="21.75" customHeight="1">
      <c r="A42" s="142" t="s">
        <v>352</v>
      </c>
      <c r="B42" s="87" t="s">
        <v>353</v>
      </c>
      <c r="C42" s="88">
        <f aca="true" t="shared" si="2" ref="C42:D44">C43</f>
        <v>15000</v>
      </c>
      <c r="D42" s="88">
        <f t="shared" si="2"/>
        <v>0</v>
      </c>
      <c r="E42" s="145">
        <f t="shared" si="1"/>
        <v>15000</v>
      </c>
    </row>
    <row r="43" spans="1:5" s="9" customFormat="1" ht="30.75" customHeight="1">
      <c r="A43" s="142" t="s">
        <v>354</v>
      </c>
      <c r="B43" s="87" t="s">
        <v>355</v>
      </c>
      <c r="C43" s="88">
        <f t="shared" si="2"/>
        <v>15000</v>
      </c>
      <c r="D43" s="88">
        <f t="shared" si="2"/>
        <v>0</v>
      </c>
      <c r="E43" s="145">
        <f t="shared" si="1"/>
        <v>15000</v>
      </c>
    </row>
    <row r="44" spans="1:5" s="9" customFormat="1" ht="30" customHeight="1">
      <c r="A44" s="147" t="s">
        <v>122</v>
      </c>
      <c r="B44" s="93" t="s">
        <v>356</v>
      </c>
      <c r="C44" s="88">
        <f t="shared" si="2"/>
        <v>15000</v>
      </c>
      <c r="D44" s="88">
        <f t="shared" si="2"/>
        <v>0</v>
      </c>
      <c r="E44" s="145">
        <f t="shared" si="1"/>
        <v>15000</v>
      </c>
    </row>
    <row r="45" spans="1:5" s="9" customFormat="1" ht="34.5" customHeight="1">
      <c r="A45" s="143" t="s">
        <v>123</v>
      </c>
      <c r="B45" s="89" t="s">
        <v>357</v>
      </c>
      <c r="C45" s="90">
        <v>15000</v>
      </c>
      <c r="D45" s="91">
        <v>0</v>
      </c>
      <c r="E45" s="146">
        <f t="shared" si="1"/>
        <v>15000</v>
      </c>
    </row>
    <row r="46" spans="1:5" s="9" customFormat="1" ht="31.5" customHeight="1">
      <c r="A46" s="142" t="s">
        <v>252</v>
      </c>
      <c r="B46" s="87" t="s">
        <v>253</v>
      </c>
      <c r="C46" s="88">
        <f aca="true" t="shared" si="3" ref="C46:D48">C47</f>
        <v>2575000</v>
      </c>
      <c r="D46" s="92">
        <f t="shared" si="3"/>
        <v>1881924</v>
      </c>
      <c r="E46" s="145">
        <f t="shared" si="1"/>
        <v>693076</v>
      </c>
    </row>
    <row r="47" spans="1:5" ht="31.5" customHeight="1">
      <c r="A47" s="142" t="s">
        <v>121</v>
      </c>
      <c r="B47" s="89" t="s">
        <v>254</v>
      </c>
      <c r="C47" s="90">
        <v>2575000</v>
      </c>
      <c r="D47" s="91">
        <f>D48</f>
        <v>1881924</v>
      </c>
      <c r="E47" s="146">
        <f t="shared" si="1"/>
        <v>693076</v>
      </c>
    </row>
    <row r="48" spans="1:5" s="96" customFormat="1" ht="31.5" customHeight="1">
      <c r="A48" s="147" t="s">
        <v>122</v>
      </c>
      <c r="B48" s="93" t="s">
        <v>254</v>
      </c>
      <c r="C48" s="94">
        <f t="shared" si="3"/>
        <v>2575000</v>
      </c>
      <c r="D48" s="95">
        <f t="shared" si="3"/>
        <v>1881924</v>
      </c>
      <c r="E48" s="148">
        <f t="shared" si="1"/>
        <v>693076</v>
      </c>
    </row>
    <row r="49" spans="1:5" ht="29.25" customHeight="1">
      <c r="A49" s="143" t="s">
        <v>123</v>
      </c>
      <c r="B49" s="89" t="s">
        <v>255</v>
      </c>
      <c r="C49" s="90">
        <v>2575000</v>
      </c>
      <c r="D49" s="91">
        <v>1881924</v>
      </c>
      <c r="E49" s="146">
        <f t="shared" si="1"/>
        <v>693076</v>
      </c>
    </row>
    <row r="50" spans="1:5" s="9" customFormat="1" ht="21.75" customHeight="1">
      <c r="A50" s="142" t="s">
        <v>189</v>
      </c>
      <c r="B50" s="87" t="s">
        <v>276</v>
      </c>
      <c r="C50" s="88">
        <f>C51</f>
        <v>70624000</v>
      </c>
      <c r="D50" s="88">
        <f>D51</f>
        <v>51847241.7</v>
      </c>
      <c r="E50" s="145">
        <f t="shared" si="1"/>
        <v>18776758.299999997</v>
      </c>
    </row>
    <row r="51" spans="1:5" s="9" customFormat="1" ht="20.25" customHeight="1">
      <c r="A51" s="142" t="s">
        <v>275</v>
      </c>
      <c r="B51" s="87" t="s">
        <v>188</v>
      </c>
      <c r="C51" s="88">
        <f>C52</f>
        <v>70624000</v>
      </c>
      <c r="D51" s="88">
        <f>D52</f>
        <v>51847241.7</v>
      </c>
      <c r="E51" s="145">
        <f t="shared" si="1"/>
        <v>18776758.299999997</v>
      </c>
    </row>
    <row r="52" spans="1:5" s="9" customFormat="1" ht="30" customHeight="1">
      <c r="A52" s="152" t="s">
        <v>273</v>
      </c>
      <c r="B52" s="93" t="s">
        <v>278</v>
      </c>
      <c r="C52" s="88">
        <f>C53+C63</f>
        <v>70624000</v>
      </c>
      <c r="D52" s="88">
        <f>D53+D63</f>
        <v>51847241.7</v>
      </c>
      <c r="E52" s="145">
        <f t="shared" si="1"/>
        <v>18776758.299999997</v>
      </c>
    </row>
    <row r="53" spans="1:5" s="9" customFormat="1" ht="22.5" customHeight="1">
      <c r="A53" s="153" t="s">
        <v>274</v>
      </c>
      <c r="B53" s="87" t="s">
        <v>277</v>
      </c>
      <c r="C53" s="88">
        <f>C54+C57</f>
        <v>16950000</v>
      </c>
      <c r="D53" s="88">
        <f>D54+D57</f>
        <v>14642035.41</v>
      </c>
      <c r="E53" s="145">
        <f t="shared" si="1"/>
        <v>2307964.59</v>
      </c>
    </row>
    <row r="54" spans="1:5" s="9" customFormat="1" ht="45" customHeight="1">
      <c r="A54" s="142" t="s">
        <v>279</v>
      </c>
      <c r="B54" s="87" t="s">
        <v>280</v>
      </c>
      <c r="C54" s="88">
        <f>C55+C56</f>
        <v>16200000</v>
      </c>
      <c r="D54" s="88">
        <f>D55+D56</f>
        <v>14595225.98</v>
      </c>
      <c r="E54" s="145">
        <f t="shared" si="1"/>
        <v>1604774.0199999996</v>
      </c>
    </row>
    <row r="55" spans="1:5" s="9" customFormat="1" ht="22.5" customHeight="1">
      <c r="A55" s="143" t="s">
        <v>281</v>
      </c>
      <c r="B55" s="89" t="s">
        <v>282</v>
      </c>
      <c r="C55" s="90">
        <v>15300000</v>
      </c>
      <c r="D55" s="91">
        <v>14595225.98</v>
      </c>
      <c r="E55" s="146">
        <f t="shared" si="1"/>
        <v>704774.0199999996</v>
      </c>
    </row>
    <row r="56" spans="1:5" s="9" customFormat="1" ht="23.25" customHeight="1">
      <c r="A56" s="143" t="s">
        <v>284</v>
      </c>
      <c r="B56" s="89" t="s">
        <v>283</v>
      </c>
      <c r="C56" s="90">
        <v>900000</v>
      </c>
      <c r="D56" s="91">
        <v>0</v>
      </c>
      <c r="E56" s="146">
        <f t="shared" si="1"/>
        <v>900000</v>
      </c>
    </row>
    <row r="57" spans="1:5" s="9" customFormat="1" ht="24.75" customHeight="1">
      <c r="A57" s="142" t="s">
        <v>126</v>
      </c>
      <c r="B57" s="87" t="s">
        <v>234</v>
      </c>
      <c r="C57" s="88">
        <f>C58</f>
        <v>750000</v>
      </c>
      <c r="D57" s="92">
        <f>D58</f>
        <v>46809.43</v>
      </c>
      <c r="E57" s="145">
        <f t="shared" si="1"/>
        <v>703190.57</v>
      </c>
    </row>
    <row r="58" spans="1:5" s="96" customFormat="1" ht="57.75" customHeight="1">
      <c r="A58" s="205" t="s">
        <v>328</v>
      </c>
      <c r="B58" s="206" t="s">
        <v>256</v>
      </c>
      <c r="C58" s="207">
        <v>750000</v>
      </c>
      <c r="D58" s="207">
        <v>46809.43</v>
      </c>
      <c r="E58" s="208">
        <f t="shared" si="1"/>
        <v>703190.57</v>
      </c>
    </row>
    <row r="59" spans="1:5" s="9" customFormat="1" ht="12.75" customHeight="1" hidden="1">
      <c r="A59" s="205"/>
      <c r="B59" s="206"/>
      <c r="C59" s="207"/>
      <c r="D59" s="207"/>
      <c r="E59" s="208"/>
    </row>
    <row r="60" spans="1:5" s="9" customFormat="1" ht="12.75" customHeight="1" hidden="1">
      <c r="A60" s="205"/>
      <c r="B60" s="206"/>
      <c r="C60" s="207"/>
      <c r="D60" s="207"/>
      <c r="E60" s="208"/>
    </row>
    <row r="61" spans="1:5" s="9" customFormat="1" ht="12.75" customHeight="1" hidden="1">
      <c r="A61" s="205"/>
      <c r="B61" s="206"/>
      <c r="C61" s="207"/>
      <c r="D61" s="207"/>
      <c r="E61" s="208"/>
    </row>
    <row r="62" spans="1:5" s="9" customFormat="1" ht="12.75" customHeight="1" hidden="1">
      <c r="A62" s="205"/>
      <c r="B62" s="206"/>
      <c r="C62" s="207"/>
      <c r="D62" s="207"/>
      <c r="E62" s="208"/>
    </row>
    <row r="63" spans="1:5" s="9" customFormat="1" ht="30.75" customHeight="1">
      <c r="A63" s="142" t="s">
        <v>121</v>
      </c>
      <c r="B63" s="87" t="s">
        <v>233</v>
      </c>
      <c r="C63" s="88">
        <f>C64</f>
        <v>53674000</v>
      </c>
      <c r="D63" s="88">
        <f>D64</f>
        <v>37205206.29</v>
      </c>
      <c r="E63" s="145">
        <f aca="true" t="shared" si="4" ref="E63:E79">C63-D63</f>
        <v>16468793.71</v>
      </c>
    </row>
    <row r="64" spans="1:5" s="96" customFormat="1" ht="34.5" customHeight="1">
      <c r="A64" s="147" t="s">
        <v>122</v>
      </c>
      <c r="B64" s="93" t="s">
        <v>232</v>
      </c>
      <c r="C64" s="94">
        <f>C65+C69</f>
        <v>53674000</v>
      </c>
      <c r="D64" s="94">
        <f>D65+D69</f>
        <v>37205206.29</v>
      </c>
      <c r="E64" s="145">
        <f t="shared" si="4"/>
        <v>16468793.71</v>
      </c>
    </row>
    <row r="65" spans="1:5" s="9" customFormat="1" ht="31.5" customHeight="1">
      <c r="A65" s="143" t="s">
        <v>123</v>
      </c>
      <c r="B65" s="89" t="s">
        <v>231</v>
      </c>
      <c r="C65" s="90">
        <v>47169000</v>
      </c>
      <c r="D65" s="90">
        <v>31885875.54</v>
      </c>
      <c r="E65" s="146">
        <f t="shared" si="4"/>
        <v>15283124.46</v>
      </c>
    </row>
    <row r="66" spans="1:5" s="9" customFormat="1" ht="21" customHeight="1" hidden="1">
      <c r="A66" s="142" t="s">
        <v>199</v>
      </c>
      <c r="B66" s="87" t="s">
        <v>203</v>
      </c>
      <c r="C66" s="88">
        <f>C67</f>
        <v>0</v>
      </c>
      <c r="D66" s="88">
        <f>D67</f>
        <v>0</v>
      </c>
      <c r="E66" s="146">
        <f t="shared" si="4"/>
        <v>0</v>
      </c>
    </row>
    <row r="67" spans="1:5" s="9" customFormat="1" ht="19.5" customHeight="1" hidden="1">
      <c r="A67" s="142" t="s">
        <v>200</v>
      </c>
      <c r="B67" s="87" t="s">
        <v>202</v>
      </c>
      <c r="C67" s="88">
        <f>C68</f>
        <v>0</v>
      </c>
      <c r="D67" s="88">
        <f>D68</f>
        <v>0</v>
      </c>
      <c r="E67" s="146">
        <f t="shared" si="4"/>
        <v>0</v>
      </c>
    </row>
    <row r="68" spans="1:5" s="9" customFormat="1" ht="27.75" customHeight="1" hidden="1">
      <c r="A68" s="143" t="s">
        <v>201</v>
      </c>
      <c r="B68" s="89" t="s">
        <v>204</v>
      </c>
      <c r="C68" s="90">
        <v>0</v>
      </c>
      <c r="D68" s="90">
        <v>0</v>
      </c>
      <c r="E68" s="146">
        <f t="shared" si="4"/>
        <v>0</v>
      </c>
    </row>
    <row r="69" spans="1:5" s="9" customFormat="1" ht="20.25" customHeight="1">
      <c r="A69" s="154" t="s">
        <v>272</v>
      </c>
      <c r="B69" s="89" t="s">
        <v>265</v>
      </c>
      <c r="C69" s="90">
        <v>6505000</v>
      </c>
      <c r="D69" s="90">
        <v>5319330.75</v>
      </c>
      <c r="E69" s="146">
        <f t="shared" si="4"/>
        <v>1185669.25</v>
      </c>
    </row>
    <row r="70" spans="1:5" s="9" customFormat="1" ht="25.5" customHeight="1">
      <c r="A70" s="142" t="s">
        <v>199</v>
      </c>
      <c r="B70" s="87" t="s">
        <v>203</v>
      </c>
      <c r="C70" s="88">
        <f>C71+C73+C75</f>
        <v>215000</v>
      </c>
      <c r="D70" s="88">
        <f>D71+D73+D75</f>
        <v>215000</v>
      </c>
      <c r="E70" s="145">
        <f t="shared" si="4"/>
        <v>0</v>
      </c>
    </row>
    <row r="71" spans="1:5" s="9" customFormat="1" ht="21" customHeight="1">
      <c r="A71" s="142" t="s">
        <v>269</v>
      </c>
      <c r="B71" s="87" t="s">
        <v>270</v>
      </c>
      <c r="C71" s="88">
        <f>C72</f>
        <v>30000</v>
      </c>
      <c r="D71" s="88">
        <f>D72</f>
        <v>30000</v>
      </c>
      <c r="E71" s="145">
        <f t="shared" si="4"/>
        <v>0</v>
      </c>
    </row>
    <row r="72" spans="1:5" s="9" customFormat="1" ht="30.75" customHeight="1">
      <c r="A72" s="143" t="s">
        <v>201</v>
      </c>
      <c r="B72" s="89" t="s">
        <v>271</v>
      </c>
      <c r="C72" s="90">
        <v>30000</v>
      </c>
      <c r="D72" s="90">
        <v>30000</v>
      </c>
      <c r="E72" s="146">
        <f t="shared" si="4"/>
        <v>0</v>
      </c>
    </row>
    <row r="73" spans="1:5" s="9" customFormat="1" ht="27" customHeight="1">
      <c r="A73" s="142" t="s">
        <v>200</v>
      </c>
      <c r="B73" s="87" t="s">
        <v>202</v>
      </c>
      <c r="C73" s="88">
        <f>C74</f>
        <v>105000</v>
      </c>
      <c r="D73" s="88">
        <f>D74</f>
        <v>105000</v>
      </c>
      <c r="E73" s="145">
        <f>C73-D73</f>
        <v>0</v>
      </c>
    </row>
    <row r="74" spans="1:5" s="9" customFormat="1" ht="30.75" customHeight="1">
      <c r="A74" s="143" t="s">
        <v>201</v>
      </c>
      <c r="B74" s="89" t="s">
        <v>329</v>
      </c>
      <c r="C74" s="90">
        <v>105000</v>
      </c>
      <c r="D74" s="90">
        <v>105000</v>
      </c>
      <c r="E74" s="146">
        <f>C74-D74</f>
        <v>0</v>
      </c>
    </row>
    <row r="75" spans="1:5" s="9" customFormat="1" ht="30.75" customHeight="1">
      <c r="A75" s="142" t="s">
        <v>330</v>
      </c>
      <c r="B75" s="87" t="s">
        <v>331</v>
      </c>
      <c r="C75" s="88">
        <f>C76</f>
        <v>80000</v>
      </c>
      <c r="D75" s="88">
        <f>D76</f>
        <v>80000</v>
      </c>
      <c r="E75" s="145">
        <f>C75-D75</f>
        <v>0</v>
      </c>
    </row>
    <row r="76" spans="1:5" s="9" customFormat="1" ht="30.75" customHeight="1">
      <c r="A76" s="143" t="s">
        <v>201</v>
      </c>
      <c r="B76" s="89" t="s">
        <v>332</v>
      </c>
      <c r="C76" s="90">
        <v>80000</v>
      </c>
      <c r="D76" s="90">
        <v>80000</v>
      </c>
      <c r="E76" s="146">
        <f>C76-D76</f>
        <v>0</v>
      </c>
    </row>
    <row r="77" spans="1:5" s="9" customFormat="1" ht="23.25" customHeight="1">
      <c r="A77" s="142" t="s">
        <v>194</v>
      </c>
      <c r="B77" s="87" t="s">
        <v>195</v>
      </c>
      <c r="C77" s="88">
        <f>C78+C81</f>
        <v>425000</v>
      </c>
      <c r="D77" s="88">
        <f>D78+D81</f>
        <v>149500</v>
      </c>
      <c r="E77" s="145">
        <f t="shared" si="4"/>
        <v>275500</v>
      </c>
    </row>
    <row r="78" spans="1:5" s="9" customFormat="1" ht="30.75" customHeight="1">
      <c r="A78" s="142" t="s">
        <v>193</v>
      </c>
      <c r="B78" s="87" t="s">
        <v>237</v>
      </c>
      <c r="C78" s="88">
        <f>C79</f>
        <v>125000</v>
      </c>
      <c r="D78" s="88">
        <f>D79</f>
        <v>0</v>
      </c>
      <c r="E78" s="145">
        <f t="shared" si="4"/>
        <v>125000</v>
      </c>
    </row>
    <row r="79" spans="1:5" s="96" customFormat="1" ht="45" customHeight="1">
      <c r="A79" s="205" t="s">
        <v>46</v>
      </c>
      <c r="B79" s="206" t="s">
        <v>257</v>
      </c>
      <c r="C79" s="207">
        <v>125000</v>
      </c>
      <c r="D79" s="207">
        <v>0</v>
      </c>
      <c r="E79" s="208">
        <f t="shared" si="4"/>
        <v>125000</v>
      </c>
    </row>
    <row r="80" spans="1:5" s="9" customFormat="1" ht="12.75" customHeight="1" hidden="1">
      <c r="A80" s="205"/>
      <c r="B80" s="206"/>
      <c r="C80" s="207"/>
      <c r="D80" s="207"/>
      <c r="E80" s="208"/>
    </row>
    <row r="81" spans="1:5" s="9" customFormat="1" ht="30">
      <c r="A81" s="142" t="s">
        <v>121</v>
      </c>
      <c r="B81" s="87" t="s">
        <v>236</v>
      </c>
      <c r="C81" s="88">
        <f>C82</f>
        <v>300000</v>
      </c>
      <c r="D81" s="88">
        <f>D82</f>
        <v>149500</v>
      </c>
      <c r="E81" s="145">
        <f aca="true" t="shared" si="5" ref="E81:E114">C81-D81</f>
        <v>150500</v>
      </c>
    </row>
    <row r="82" spans="1:5" s="96" customFormat="1" ht="36" customHeight="1">
      <c r="A82" s="147" t="s">
        <v>122</v>
      </c>
      <c r="B82" s="93" t="s">
        <v>235</v>
      </c>
      <c r="C82" s="94">
        <f>C83</f>
        <v>300000</v>
      </c>
      <c r="D82" s="94">
        <f>D83</f>
        <v>149500</v>
      </c>
      <c r="E82" s="145">
        <f t="shared" si="5"/>
        <v>150500</v>
      </c>
    </row>
    <row r="83" spans="1:5" ht="29.25" customHeight="1">
      <c r="A83" s="143" t="s">
        <v>123</v>
      </c>
      <c r="B83" s="89" t="s">
        <v>258</v>
      </c>
      <c r="C83" s="90">
        <v>300000</v>
      </c>
      <c r="D83" s="90">
        <v>149500</v>
      </c>
      <c r="E83" s="146">
        <f t="shared" si="5"/>
        <v>150500</v>
      </c>
    </row>
    <row r="84" spans="1:5" ht="23.25" customHeight="1">
      <c r="A84" s="142" t="s">
        <v>208</v>
      </c>
      <c r="B84" s="87" t="s">
        <v>210</v>
      </c>
      <c r="C84" s="88">
        <f>C85</f>
        <v>15000</v>
      </c>
      <c r="D84" s="88">
        <f>D85</f>
        <v>15000</v>
      </c>
      <c r="E84" s="145">
        <f t="shared" si="5"/>
        <v>0</v>
      </c>
    </row>
    <row r="85" spans="1:5" ht="25.5" customHeight="1">
      <c r="A85" s="142" t="s">
        <v>209</v>
      </c>
      <c r="B85" s="87" t="s">
        <v>211</v>
      </c>
      <c r="C85" s="88">
        <f>C86</f>
        <v>15000</v>
      </c>
      <c r="D85" s="88">
        <f>D86</f>
        <v>15000</v>
      </c>
      <c r="E85" s="145">
        <f t="shared" si="5"/>
        <v>0</v>
      </c>
    </row>
    <row r="86" spans="1:5" ht="30" customHeight="1">
      <c r="A86" s="143" t="s">
        <v>213</v>
      </c>
      <c r="B86" s="89" t="s">
        <v>338</v>
      </c>
      <c r="C86" s="90">
        <v>15000</v>
      </c>
      <c r="D86" s="90">
        <v>15000</v>
      </c>
      <c r="E86" s="146">
        <f t="shared" si="5"/>
        <v>0</v>
      </c>
    </row>
    <row r="87" spans="1:5" ht="24" customHeight="1">
      <c r="A87" s="142" t="s">
        <v>192</v>
      </c>
      <c r="B87" s="87" t="s">
        <v>196</v>
      </c>
      <c r="C87" s="88">
        <f>C88+C91+C94</f>
        <v>3235000</v>
      </c>
      <c r="D87" s="88">
        <f>D88+D91+D94</f>
        <v>2764937.12</v>
      </c>
      <c r="E87" s="145">
        <f t="shared" si="5"/>
        <v>470062.8799999999</v>
      </c>
    </row>
    <row r="88" spans="1:5" s="9" customFormat="1" ht="31.5" customHeight="1">
      <c r="A88" s="142" t="s">
        <v>127</v>
      </c>
      <c r="B88" s="87" t="s">
        <v>238</v>
      </c>
      <c r="C88" s="88">
        <f>C89</f>
        <v>850000</v>
      </c>
      <c r="D88" s="88">
        <f>D89</f>
        <v>474937.12</v>
      </c>
      <c r="E88" s="145">
        <f t="shared" si="5"/>
        <v>375062.88</v>
      </c>
    </row>
    <row r="89" spans="1:5" s="96" customFormat="1" ht="30.75" customHeight="1">
      <c r="A89" s="147" t="s">
        <v>128</v>
      </c>
      <c r="B89" s="93" t="s">
        <v>239</v>
      </c>
      <c r="C89" s="94">
        <f>C90</f>
        <v>850000</v>
      </c>
      <c r="D89" s="94">
        <f>D90</f>
        <v>474937.12</v>
      </c>
      <c r="E89" s="148">
        <f t="shared" si="5"/>
        <v>375062.88</v>
      </c>
    </row>
    <row r="90" spans="1:5" s="9" customFormat="1" ht="22.5" customHeight="1">
      <c r="A90" s="143" t="s">
        <v>47</v>
      </c>
      <c r="B90" s="89" t="s">
        <v>240</v>
      </c>
      <c r="C90" s="90">
        <v>850000</v>
      </c>
      <c r="D90" s="90">
        <v>474937.12</v>
      </c>
      <c r="E90" s="146">
        <f t="shared" si="5"/>
        <v>375062.88</v>
      </c>
    </row>
    <row r="91" spans="1:5" s="9" customFormat="1" ht="24.75" customHeight="1">
      <c r="A91" s="142" t="s">
        <v>129</v>
      </c>
      <c r="B91" s="87" t="s">
        <v>241</v>
      </c>
      <c r="C91" s="88">
        <f>C93+C92</f>
        <v>237000</v>
      </c>
      <c r="D91" s="88">
        <f>D93+D92</f>
        <v>142000</v>
      </c>
      <c r="E91" s="145">
        <f t="shared" si="5"/>
        <v>95000</v>
      </c>
    </row>
    <row r="92" spans="1:5" s="9" customFormat="1" ht="25.5" customHeight="1">
      <c r="A92" s="143" t="s">
        <v>215</v>
      </c>
      <c r="B92" s="89" t="s">
        <v>242</v>
      </c>
      <c r="C92" s="90">
        <v>37000</v>
      </c>
      <c r="D92" s="90">
        <v>22000</v>
      </c>
      <c r="E92" s="146">
        <f t="shared" si="5"/>
        <v>15000</v>
      </c>
    </row>
    <row r="93" spans="1:5" s="9" customFormat="1" ht="24.75" customHeight="1">
      <c r="A93" s="143" t="s">
        <v>130</v>
      </c>
      <c r="B93" s="89" t="s">
        <v>243</v>
      </c>
      <c r="C93" s="90">
        <v>200000</v>
      </c>
      <c r="D93" s="90">
        <v>120000</v>
      </c>
      <c r="E93" s="146">
        <f t="shared" si="5"/>
        <v>80000</v>
      </c>
    </row>
    <row r="94" spans="1:5" s="9" customFormat="1" ht="23.25" customHeight="1">
      <c r="A94" s="142" t="s">
        <v>129</v>
      </c>
      <c r="B94" s="87" t="s">
        <v>170</v>
      </c>
      <c r="C94" s="88">
        <f>C95+C96</f>
        <v>2148000</v>
      </c>
      <c r="D94" s="88">
        <f>D95+D96</f>
        <v>2148000</v>
      </c>
      <c r="E94" s="145">
        <f t="shared" si="5"/>
        <v>0</v>
      </c>
    </row>
    <row r="95" spans="1:5" s="9" customFormat="1" ht="29.25">
      <c r="A95" s="143" t="s">
        <v>131</v>
      </c>
      <c r="B95" s="89" t="s">
        <v>266</v>
      </c>
      <c r="C95" s="90">
        <v>2128000</v>
      </c>
      <c r="D95" s="90">
        <v>2128000</v>
      </c>
      <c r="E95" s="146">
        <f t="shared" si="5"/>
        <v>0</v>
      </c>
    </row>
    <row r="96" spans="1:5" s="9" customFormat="1" ht="21.75" customHeight="1">
      <c r="A96" s="143" t="s">
        <v>222</v>
      </c>
      <c r="B96" s="89" t="s">
        <v>348</v>
      </c>
      <c r="C96" s="90">
        <v>20000</v>
      </c>
      <c r="D96" s="90">
        <v>20000</v>
      </c>
      <c r="E96" s="146">
        <f t="shared" si="5"/>
        <v>0</v>
      </c>
    </row>
    <row r="97" spans="1:5" s="9" customFormat="1" ht="24" customHeight="1">
      <c r="A97" s="142" t="s">
        <v>190</v>
      </c>
      <c r="B97" s="87" t="s">
        <v>191</v>
      </c>
      <c r="C97" s="88">
        <f>C98+C104+C103</f>
        <v>416900</v>
      </c>
      <c r="D97" s="88">
        <f>D98+D104+D103</f>
        <v>0</v>
      </c>
      <c r="E97" s="145">
        <f t="shared" si="5"/>
        <v>416900</v>
      </c>
    </row>
    <row r="98" spans="1:5" s="9" customFormat="1" ht="33.75" customHeight="1">
      <c r="A98" s="142" t="s">
        <v>132</v>
      </c>
      <c r="B98" s="87" t="s">
        <v>244</v>
      </c>
      <c r="C98" s="88">
        <f>C99</f>
        <v>91900</v>
      </c>
      <c r="D98" s="88">
        <f>D99</f>
        <v>0</v>
      </c>
      <c r="E98" s="145">
        <f t="shared" si="5"/>
        <v>91900</v>
      </c>
    </row>
    <row r="99" spans="1:5" s="9" customFormat="1" ht="33.75" customHeight="1">
      <c r="A99" s="142" t="s">
        <v>121</v>
      </c>
      <c r="B99" s="87" t="s">
        <v>245</v>
      </c>
      <c r="C99" s="88">
        <f>C100</f>
        <v>91900</v>
      </c>
      <c r="D99" s="88">
        <f>D100</f>
        <v>0</v>
      </c>
      <c r="E99" s="145">
        <f t="shared" si="5"/>
        <v>91900</v>
      </c>
    </row>
    <row r="100" spans="1:5" s="96" customFormat="1" ht="34.5" customHeight="1">
      <c r="A100" s="147" t="s">
        <v>122</v>
      </c>
      <c r="B100" s="93" t="s">
        <v>246</v>
      </c>
      <c r="C100" s="94">
        <f>C101+C102</f>
        <v>91900</v>
      </c>
      <c r="D100" s="95">
        <f>D101+D102</f>
        <v>0</v>
      </c>
      <c r="E100" s="148">
        <f t="shared" si="5"/>
        <v>91900</v>
      </c>
    </row>
    <row r="101" spans="1:5" s="9" customFormat="1" ht="34.5" customHeight="1">
      <c r="A101" s="143" t="s">
        <v>123</v>
      </c>
      <c r="B101" s="89" t="s">
        <v>247</v>
      </c>
      <c r="C101" s="90">
        <v>91900</v>
      </c>
      <c r="D101" s="91">
        <v>0</v>
      </c>
      <c r="E101" s="146">
        <f t="shared" si="5"/>
        <v>91900</v>
      </c>
    </row>
    <row r="102" spans="1:5" s="9" customFormat="1" ht="30" customHeight="1" hidden="1">
      <c r="A102" s="143" t="s">
        <v>183</v>
      </c>
      <c r="B102" s="89" t="s">
        <v>184</v>
      </c>
      <c r="C102" s="90">
        <v>0</v>
      </c>
      <c r="D102" s="91">
        <v>0</v>
      </c>
      <c r="E102" s="146">
        <f t="shared" si="5"/>
        <v>0</v>
      </c>
    </row>
    <row r="103" spans="1:5" s="9" customFormat="1" ht="30" customHeight="1" hidden="1">
      <c r="A103" s="143" t="s">
        <v>183</v>
      </c>
      <c r="B103" s="89" t="s">
        <v>184</v>
      </c>
      <c r="C103" s="90">
        <v>0</v>
      </c>
      <c r="D103" s="91">
        <v>0</v>
      </c>
      <c r="E103" s="146">
        <f t="shared" si="5"/>
        <v>0</v>
      </c>
    </row>
    <row r="104" spans="1:5" s="96" customFormat="1" ht="47.25" customHeight="1">
      <c r="A104" s="147" t="s">
        <v>48</v>
      </c>
      <c r="B104" s="93" t="s">
        <v>259</v>
      </c>
      <c r="C104" s="94">
        <v>325000</v>
      </c>
      <c r="D104" s="95">
        <v>0</v>
      </c>
      <c r="E104" s="148">
        <f t="shared" si="5"/>
        <v>325000</v>
      </c>
    </row>
    <row r="105" spans="1:5" s="96" customFormat="1" ht="22.5" customHeight="1">
      <c r="A105" s="142" t="s">
        <v>349</v>
      </c>
      <c r="B105" s="87" t="s">
        <v>350</v>
      </c>
      <c r="C105" s="94">
        <f>C106+C107</f>
        <v>1768000</v>
      </c>
      <c r="D105" s="94">
        <f>D106+D107</f>
        <v>1573061.31</v>
      </c>
      <c r="E105" s="148">
        <f t="shared" si="5"/>
        <v>194938.68999999994</v>
      </c>
    </row>
    <row r="106" spans="1:5" s="96" customFormat="1" ht="22.5" customHeight="1">
      <c r="A106" s="143" t="s">
        <v>222</v>
      </c>
      <c r="B106" s="89" t="s">
        <v>351</v>
      </c>
      <c r="C106" s="90">
        <v>18000</v>
      </c>
      <c r="D106" s="91">
        <v>18000</v>
      </c>
      <c r="E106" s="148">
        <f t="shared" si="5"/>
        <v>0</v>
      </c>
    </row>
    <row r="107" spans="1:5" s="9" customFormat="1" ht="33.75" customHeight="1">
      <c r="A107" s="142" t="s">
        <v>133</v>
      </c>
      <c r="B107" s="87" t="s">
        <v>248</v>
      </c>
      <c r="C107" s="88">
        <f>C108</f>
        <v>1750000</v>
      </c>
      <c r="D107" s="92">
        <f>D108</f>
        <v>1555061.31</v>
      </c>
      <c r="E107" s="145">
        <f t="shared" si="5"/>
        <v>194938.68999999994</v>
      </c>
    </row>
    <row r="108" spans="1:5" s="9" customFormat="1" ht="47.25" customHeight="1">
      <c r="A108" s="143" t="s">
        <v>49</v>
      </c>
      <c r="B108" s="89" t="s">
        <v>260</v>
      </c>
      <c r="C108" s="90">
        <v>1750000</v>
      </c>
      <c r="D108" s="91">
        <v>1555061.31</v>
      </c>
      <c r="E108" s="146">
        <f t="shared" si="5"/>
        <v>194938.68999999994</v>
      </c>
    </row>
    <row r="109" spans="1:5" s="9" customFormat="1" ht="47.25" customHeight="1">
      <c r="A109" s="141" t="s">
        <v>358</v>
      </c>
      <c r="B109" s="87" t="s">
        <v>359</v>
      </c>
      <c r="C109" s="165">
        <f aca="true" t="shared" si="6" ref="C109:D113">C110</f>
        <v>8100</v>
      </c>
      <c r="D109" s="165">
        <f t="shared" si="6"/>
        <v>8100</v>
      </c>
      <c r="E109" s="145">
        <f t="shared" si="5"/>
        <v>0</v>
      </c>
    </row>
    <row r="110" spans="1:5" s="9" customFormat="1" ht="21" customHeight="1">
      <c r="A110" s="141" t="s">
        <v>360</v>
      </c>
      <c r="B110" s="87" t="s">
        <v>361</v>
      </c>
      <c r="C110" s="165">
        <f t="shared" si="6"/>
        <v>8100</v>
      </c>
      <c r="D110" s="165">
        <f t="shared" si="6"/>
        <v>8100</v>
      </c>
      <c r="E110" s="145">
        <f t="shared" si="5"/>
        <v>0</v>
      </c>
    </row>
    <row r="111" spans="1:5" s="9" customFormat="1" ht="30" customHeight="1">
      <c r="A111" s="152" t="s">
        <v>362</v>
      </c>
      <c r="B111" s="93" t="s">
        <v>363</v>
      </c>
      <c r="C111" s="166">
        <f t="shared" si="6"/>
        <v>8100</v>
      </c>
      <c r="D111" s="166">
        <f t="shared" si="6"/>
        <v>8100</v>
      </c>
      <c r="E111" s="148">
        <f t="shared" si="5"/>
        <v>0</v>
      </c>
    </row>
    <row r="112" spans="1:5" s="9" customFormat="1" ht="22.5" customHeight="1">
      <c r="A112" s="154" t="s">
        <v>364</v>
      </c>
      <c r="B112" s="89" t="s">
        <v>365</v>
      </c>
      <c r="C112" s="162">
        <f t="shared" si="6"/>
        <v>8100</v>
      </c>
      <c r="D112" s="162">
        <f t="shared" si="6"/>
        <v>8100</v>
      </c>
      <c r="E112" s="146">
        <f t="shared" si="5"/>
        <v>0</v>
      </c>
    </row>
    <row r="113" spans="1:5" s="9" customFormat="1" ht="30.75" customHeight="1">
      <c r="A113" s="164" t="s">
        <v>366</v>
      </c>
      <c r="B113" s="89" t="s">
        <v>367</v>
      </c>
      <c r="C113" s="162">
        <f t="shared" si="6"/>
        <v>8100</v>
      </c>
      <c r="D113" s="162">
        <f t="shared" si="6"/>
        <v>8100</v>
      </c>
      <c r="E113" s="146">
        <f t="shared" si="5"/>
        <v>0</v>
      </c>
    </row>
    <row r="114" spans="1:5" s="9" customFormat="1" ht="24.75" customHeight="1">
      <c r="A114" s="154" t="s">
        <v>340</v>
      </c>
      <c r="B114" s="89" t="s">
        <v>368</v>
      </c>
      <c r="C114" s="162">
        <v>8100</v>
      </c>
      <c r="D114" s="163">
        <v>8100</v>
      </c>
      <c r="E114" s="146">
        <f t="shared" si="5"/>
        <v>0</v>
      </c>
    </row>
    <row r="115" spans="1:5" s="9" customFormat="1" ht="27" customHeight="1" thickBot="1">
      <c r="A115" s="155" t="s">
        <v>50</v>
      </c>
      <c r="B115" s="156"/>
      <c r="C115" s="157">
        <f>C105+C97+C87+C77+C50+C4+C41+C70+C84+C109</f>
        <v>95789000</v>
      </c>
      <c r="D115" s="157">
        <f>D105+D97+D87+D77+D50+D4+D41+D70+D84+D109</f>
        <v>71214144.53</v>
      </c>
      <c r="E115" s="158">
        <f>C115-D115</f>
        <v>24574855.47</v>
      </c>
    </row>
  </sheetData>
  <sheetProtection/>
  <mergeCells count="14">
    <mergeCell ref="B58:B62"/>
    <mergeCell ref="C58:C62"/>
    <mergeCell ref="D58:D62"/>
    <mergeCell ref="E58:E62"/>
    <mergeCell ref="A79:A80"/>
    <mergeCell ref="B79:B80"/>
    <mergeCell ref="C79:C80"/>
    <mergeCell ref="D79:D80"/>
    <mergeCell ref="E79:E80"/>
    <mergeCell ref="A11:A12"/>
    <mergeCell ref="C11:C12"/>
    <mergeCell ref="D11:D12"/>
    <mergeCell ref="E11:E12"/>
    <mergeCell ref="A58:A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4" manualBreakCount="4">
    <brk id="23" max="6" man="1"/>
    <brk id="49" max="255" man="1"/>
    <brk id="8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2022-04-29T12:57:07Z</cp:lastPrinted>
  <dcterms:created xsi:type="dcterms:W3CDTF">2014-02-11T10:55:36Z</dcterms:created>
  <dcterms:modified xsi:type="dcterms:W3CDTF">2022-07-29T11:36:55Z</dcterms:modified>
  <cp:category/>
  <cp:version/>
  <cp:contentType/>
  <cp:contentStatus/>
</cp:coreProperties>
</file>